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_rels/sheet1.xml.rels" ContentType="application/vnd.openxmlformats-package.relationships+xml"/>
  <Override PartName="/xl/sharedStrings.xml" ContentType="application/vnd.openxmlformats-officedocument.spreadsheetml.sharedStrings+xml"/>
  <Override PartName="/xl/drawings/drawing1.xml" ContentType="application/vnd.openxmlformats-officedocument.drawing+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Air only pressure drop" sheetId="1" state="visible" r:id="rId2"/>
  </sheet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<sst xmlns="http://schemas.openxmlformats.org/spreadsheetml/2006/main" count="111" uniqueCount="85">
  <si>
    <t xml:space="preserve">FOR EDUCATIONAL PURPOSE ONLY – DO NOT USE THIS METHOD FOR DETAIL DESIGN – ALWAYS CONSULT A REPUTABLE SUPPLIER FOR DETAIL DESIGN</t>
  </si>
  <si>
    <t xml:space="preserve">WARNING domain of applicability : This model is only valid in LEAN PHASE</t>
  </si>
  <si>
    <t xml:space="preserve">Design data</t>
  </si>
  <si>
    <t xml:space="preserve">Air velocity</t>
  </si>
  <si>
    <t xml:space="preserve">Transport by</t>
  </si>
  <si>
    <t xml:space="preserve">Pressure</t>
  </si>
  <si>
    <t xml:space="preserve">Air velocity at compressor discharge</t>
  </si>
  <si>
    <t xml:space="preserve">C1</t>
  </si>
  <si>
    <t xml:space="preserve">m/s</t>
  </si>
  <si>
    <t xml:space="preserve">Material</t>
  </si>
  <si>
    <t xml:space="preserve">Test</t>
  </si>
  <si>
    <t xml:space="preserve">Air velocity at end of pipe</t>
  </si>
  <si>
    <t xml:space="preserve">C2</t>
  </si>
  <si>
    <t xml:space="preserve">Line capacity</t>
  </si>
  <si>
    <t xml:space="preserve">kg/h</t>
  </si>
  <si>
    <t xml:space="preserve">Mean air velocity</t>
  </si>
  <si>
    <t xml:space="preserve">C</t>
  </si>
  <si>
    <t xml:space="preserve">Assumed pressure drop</t>
  </si>
  <si>
    <t xml:space="preserve">mbar</t>
  </si>
  <si>
    <t xml:space="preserve">Minimum air conveying velocity</t>
  </si>
  <si>
    <t xml:space="preserve">Friction coefficient</t>
  </si>
  <si>
    <t xml:space="preserve">Recommended pick-up velocity</t>
  </si>
  <si>
    <t xml:space="preserve">lambda</t>
  </si>
  <si>
    <t xml:space="preserve"> -</t>
  </si>
  <si>
    <t xml:space="preserve">FANNING</t>
  </si>
  <si>
    <t xml:space="preserve">Gas nature</t>
  </si>
  <si>
    <t xml:space="preserve">Air</t>
  </si>
  <si>
    <t xml:space="preserve">Reynolds number</t>
  </si>
  <si>
    <t xml:space="preserve">Re</t>
  </si>
  <si>
    <t xml:space="preserve">Molecular mass</t>
  </si>
  <si>
    <t xml:space="preserve">M</t>
  </si>
  <si>
    <t xml:space="preserve">g/mol</t>
  </si>
  <si>
    <t xml:space="preserve">f (Moody)</t>
  </si>
  <si>
    <t xml:space="preserve">Air viscosity</t>
  </si>
  <si>
    <t xml:space="preserve">mu_g</t>
  </si>
  <si>
    <t xml:space="preserve">Pa.s</t>
  </si>
  <si>
    <t xml:space="preserve">A</t>
  </si>
  <si>
    <t xml:space="preserve">Temperature at compressor discharge</t>
  </si>
  <si>
    <t xml:space="preserve">Ta</t>
  </si>
  <si>
    <t xml:space="preserve">°c</t>
  </si>
  <si>
    <t xml:space="preserve">B</t>
  </si>
  <si>
    <t xml:space="preserve">Pressure at compressor discharge</t>
  </si>
  <si>
    <t xml:space="preserve">p</t>
  </si>
  <si>
    <t xml:space="preserve">bar g</t>
  </si>
  <si>
    <t xml:space="preserve">Specific weight of gas at compressor discharge</t>
  </si>
  <si>
    <t xml:space="preserve">r_g1</t>
  </si>
  <si>
    <t xml:space="preserve">kg/m3</t>
  </si>
  <si>
    <t xml:space="preserve">Pressure at reception</t>
  </si>
  <si>
    <t xml:space="preserve">p2</t>
  </si>
  <si>
    <t xml:space="preserve">Psi</t>
  </si>
  <si>
    <t xml:space="preserve">Required volumetric throughput at pick-up</t>
  </si>
  <si>
    <t xml:space="preserve">m3/h</t>
  </si>
  <si>
    <t xml:space="preserve">Pressure Conveying</t>
  </si>
  <si>
    <t xml:space="preserve">Compressor air mass flowrate</t>
  </si>
  <si>
    <t xml:space="preserve">ma</t>
  </si>
  <si>
    <t xml:space="preserve">Dpa</t>
  </si>
  <si>
    <t xml:space="preserve">bar</t>
  </si>
  <si>
    <t xml:space="preserve">(air only pressure drop corrected with average air velocity)</t>
  </si>
  <si>
    <t xml:space="preserve">kg/s</t>
  </si>
  <si>
    <t xml:space="preserve">(abs pressure at blower discharge)</t>
  </si>
  <si>
    <t xml:space="preserve">DPc</t>
  </si>
  <si>
    <t xml:space="preserve">(actual pressure with product)</t>
  </si>
  <si>
    <t xml:space="preserve">Pipe layout - please fill other spreadsheet</t>
  </si>
  <si>
    <t xml:space="preserve">Vacuum Conveying</t>
  </si>
  <si>
    <t xml:space="preserve">Pipe diameter</t>
  </si>
  <si>
    <t xml:space="preserve">d</t>
  </si>
  <si>
    <t xml:space="preserve">m</t>
  </si>
  <si>
    <t xml:space="preserve">(air only pressure drop)</t>
  </si>
  <si>
    <t xml:space="preserve">Pipe roughness</t>
  </si>
  <si>
    <t xml:space="preserve">e</t>
  </si>
  <si>
    <t xml:space="preserve">mm</t>
  </si>
  <si>
    <t xml:space="preserve">Pipe horizontal length</t>
  </si>
  <si>
    <t xml:space="preserve">Pipe vertical length</t>
  </si>
  <si>
    <t xml:space="preserve">Number of bends</t>
  </si>
  <si>
    <t xml:space="preserve">Pipe length</t>
  </si>
  <si>
    <t xml:space="preserve">L</t>
  </si>
  <si>
    <t xml:space="preserve">If you spot a mistake or wish to suggest an improvement, please contact admin@powderprocess.net</t>
  </si>
  <si>
    <t xml:space="preserve">Copyright www.PowderProcess.net</t>
  </si>
  <si>
    <t xml:space="preserve">The content of PowderProcess.net is copyrighted but no warranty nor liability is ensured. The content of this site is to be seen as a help and important information and calculation must always be double checked by the user through the quality procedure of his organization or by checking another source. The user must always respect all applicable regulation. The use of the information is at the user and its organization own risk and own cost.</t>
  </si>
  <si>
    <t xml:space="preserve">P2^2</t>
  </si>
  <si>
    <t xml:space="preserve">Pressure drop Pipe only</t>
  </si>
  <si>
    <t xml:space="preserve">DP</t>
  </si>
  <si>
    <t xml:space="preserve">Pa</t>
  </si>
  <si>
    <t xml:space="preserve">Pressure drop actual pipe</t>
  </si>
  <si>
    <t xml:space="preserve">Vacuum</t>
  </si>
</sst>
</file>

<file path=xl/styles.xml><?xml version="1.0" encoding="utf-8"?>
<styleSheet xmlns="http://schemas.openxmlformats.org/spreadsheetml/2006/main">
  <numFmts count="6">
    <numFmt numFmtId="164" formatCode="General"/>
    <numFmt numFmtId="165" formatCode="General"/>
    <numFmt numFmtId="166" formatCode="0.00E+00"/>
    <numFmt numFmtId="167" formatCode="0.0"/>
    <numFmt numFmtId="168" formatCode="0.00"/>
    <numFmt numFmtId="169" formatCode="0"/>
  </numFmts>
  <fonts count="14">
    <font>
      <sz val="10"/>
      <name val="Arial"/>
      <family val="2"/>
      <charset val="1"/>
    </font>
    <font>
      <sz val="10"/>
      <name val="Arial"/>
      <family val="0"/>
      <charset val="134"/>
    </font>
    <font>
      <sz val="10"/>
      <name val="Arial"/>
      <family val="0"/>
      <charset val="134"/>
    </font>
    <font>
      <sz val="10"/>
      <name val="Arial"/>
      <family val="0"/>
      <charset val="134"/>
    </font>
    <font>
      <b val="true"/>
      <sz val="11"/>
      <color rgb="FFFF0000"/>
      <name val="Calibri"/>
      <family val="2"/>
      <charset val="1"/>
    </font>
    <font>
      <b val="true"/>
      <sz val="11"/>
      <color rgb="FF000000"/>
      <name val="Calibri"/>
      <family val="2"/>
      <charset val="1"/>
    </font>
    <font>
      <b val="true"/>
      <sz val="11"/>
      <color rgb="FF21409A"/>
      <name val="Calibri"/>
      <family val="2"/>
      <charset val="1"/>
    </font>
    <font>
      <b val="true"/>
      <sz val="11"/>
      <color rgb="FFED1C24"/>
      <name val="Calibri"/>
      <family val="2"/>
      <charset val="1"/>
    </font>
    <font>
      <sz val="11"/>
      <color rgb="FFFF0000"/>
      <name val="Calibri"/>
      <family val="2"/>
      <charset val="1"/>
    </font>
    <font>
      <sz val="10"/>
      <color rgb="FFED1C24"/>
      <name val="Arial"/>
      <family val="2"/>
      <charset val="1"/>
    </font>
    <font>
      <sz val="10"/>
      <color rgb="FF0000FF"/>
      <name val="Arial"/>
      <family val="2"/>
      <charset val="1"/>
    </font>
    <font>
      <sz val="10"/>
      <name val="Times New Roman"/>
      <family val="1"/>
      <charset val="1"/>
    </font>
    <font>
      <i val="true"/>
      <sz val="7"/>
      <name val="Times New Roman"/>
      <family val="1"/>
      <charset val="1"/>
    </font>
    <font>
      <sz val="12"/>
      <color rgb="FFCE181E"/>
      <name val="Times New Roman"/>
      <family val="0"/>
      <charset val="134"/>
    </font>
  </fonts>
  <fills count="8">
    <fill>
      <patternFill patternType="none"/>
    </fill>
    <fill>
      <patternFill patternType="gray125"/>
    </fill>
    <fill>
      <patternFill patternType="solid">
        <fgColor rgb="FFF10D0C"/>
        <bgColor rgb="FFFF0000"/>
      </patternFill>
    </fill>
    <fill>
      <patternFill patternType="solid">
        <fgColor rgb="FF8F93C7"/>
        <bgColor rgb="FF9999FF"/>
      </patternFill>
    </fill>
    <fill>
      <patternFill patternType="solid">
        <fgColor rgb="FF89C765"/>
        <bgColor rgb="FFC0C0C0"/>
      </patternFill>
    </fill>
    <fill>
      <patternFill patternType="solid">
        <fgColor rgb="FFF9A870"/>
        <bgColor rgb="FFFF8080"/>
      </patternFill>
    </fill>
    <fill>
      <patternFill patternType="solid">
        <fgColor rgb="FFFDEADA"/>
        <bgColor rgb="FFFFFFFF"/>
      </patternFill>
    </fill>
    <fill>
      <patternFill patternType="solid">
        <fgColor rgb="FFFFFF00"/>
        <bgColor rgb="FFFFFF00"/>
      </patternFill>
    </fill>
  </fills>
  <borders count="19">
    <border diagonalUp="false" diagonalDown="false">
      <left/>
      <right/>
      <top/>
      <bottom/>
      <diagonal/>
    </border>
    <border diagonalUp="false" diagonalDown="false">
      <left style="medium"/>
      <right style="medium"/>
      <top style="medium"/>
      <bottom style="medium"/>
      <diagonal/>
    </border>
    <border diagonalUp="false" diagonalDown="false">
      <left style="medium"/>
      <right/>
      <top style="medium"/>
      <bottom/>
      <diagonal/>
    </border>
    <border diagonalUp="false" diagonalDown="false">
      <left/>
      <right/>
      <top style="medium"/>
      <bottom/>
      <diagonal/>
    </border>
    <border diagonalUp="false" diagonalDown="false">
      <left/>
      <right style="medium"/>
      <top style="medium"/>
      <bottom/>
      <diagonal/>
    </border>
    <border diagonalUp="false" diagonalDown="false">
      <left style="medium"/>
      <right/>
      <top/>
      <bottom/>
      <diagonal/>
    </border>
    <border diagonalUp="false" diagonalDown="false">
      <left/>
      <right style="medium"/>
      <top/>
      <bottom/>
      <diagonal/>
    </border>
    <border diagonalUp="false" diagonalDown="false">
      <left style="medium"/>
      <right/>
      <top/>
      <bottom style="medium"/>
      <diagonal/>
    </border>
    <border diagonalUp="false" diagonalDown="false">
      <left/>
      <right/>
      <top/>
      <bottom style="medium"/>
      <diagonal/>
    </border>
    <border diagonalUp="false" diagonalDown="false">
      <left/>
      <right style="medium"/>
      <top/>
      <bottom style="medium"/>
      <diagonal/>
    </border>
    <border diagonalUp="false" diagonalDown="false">
      <left style="medium"/>
      <right/>
      <top style="medium"/>
      <bottom style="medium"/>
      <diagonal/>
    </border>
    <border diagonalUp="false" diagonalDown="false">
      <left/>
      <right/>
      <top style="medium"/>
      <bottom style="medium"/>
      <diagonal/>
    </border>
    <border diagonalUp="false" diagonalDown="false">
      <left/>
      <right style="medium"/>
      <top style="medium"/>
      <bottom style="medium"/>
      <diagonal/>
    </border>
    <border diagonalUp="false" diagonalDown="false">
      <left style="medium">
        <color rgb="FFFF0000"/>
      </left>
      <right/>
      <top style="medium">
        <color rgb="FFFF0000"/>
      </top>
      <bottom/>
      <diagonal/>
    </border>
    <border diagonalUp="false" diagonalDown="false">
      <left/>
      <right/>
      <top style="medium">
        <color rgb="FFFF0000"/>
      </top>
      <bottom/>
      <diagonal/>
    </border>
    <border diagonalUp="false" diagonalDown="false">
      <left/>
      <right style="medium">
        <color rgb="FFFF0000"/>
      </right>
      <top style="medium">
        <color rgb="FFFF0000"/>
      </top>
      <bottom/>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right style="medium">
        <color rgb="FFFF0000"/>
      </right>
      <top/>
      <bottom style="medium">
        <color rgb="FFFF0000"/>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51">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2" borderId="0" xfId="0" applyFont="true" applyBorder="false" applyAlignment="false" applyProtection="false">
      <alignment horizontal="general" vertical="bottom" textRotation="0" wrapText="false" indent="0" shrinkToFit="false"/>
      <protection locked="true" hidden="false"/>
    </xf>
    <xf numFmtId="164" fontId="0" fillId="2"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4" fillId="0" borderId="0" xfId="0" applyFont="true" applyBorder="true" applyAlignment="true" applyProtection="false">
      <alignment horizontal="center" vertical="center" textRotation="0" wrapText="false" indent="0" shrinkToFit="false"/>
      <protection locked="true" hidden="false"/>
    </xf>
    <xf numFmtId="164" fontId="5" fillId="3" borderId="1" xfId="0" applyFont="true" applyBorder="true" applyAlignment="true" applyProtection="false">
      <alignment horizontal="center" vertical="bottom" textRotation="0" wrapText="false" indent="0" shrinkToFit="false"/>
      <protection locked="true" hidden="false"/>
    </xf>
    <xf numFmtId="164" fontId="0" fillId="0" borderId="2" xfId="0" applyFont="true" applyBorder="true" applyAlignment="false" applyProtection="false">
      <alignment horizontal="general" vertical="bottom" textRotation="0" wrapText="false" indent="0" shrinkToFit="false"/>
      <protection locked="true" hidden="false"/>
    </xf>
    <xf numFmtId="164" fontId="0" fillId="0" borderId="3" xfId="0" applyFont="false" applyBorder="true" applyAlignment="true" applyProtection="false">
      <alignment horizontal="center" vertical="bottom" textRotation="0" wrapText="false" indent="0" shrinkToFit="false"/>
      <protection locked="true" hidden="false"/>
    </xf>
    <xf numFmtId="164" fontId="6" fillId="4" borderId="4" xfId="0" applyFont="true" applyBorder="true" applyAlignment="true" applyProtection="true">
      <alignment horizontal="center" vertical="bottom" textRotation="0" wrapText="false" indent="0" shrinkToFit="false"/>
      <protection locked="false" hidden="false"/>
    </xf>
    <xf numFmtId="164" fontId="0" fillId="0" borderId="3" xfId="0" applyFont="true" applyBorder="true" applyAlignment="false" applyProtection="false">
      <alignment horizontal="general" vertical="bottom" textRotation="0" wrapText="false" indent="0" shrinkToFit="false"/>
      <protection locked="true" hidden="false"/>
    </xf>
    <xf numFmtId="165" fontId="7" fillId="5" borderId="4" xfId="0" applyFont="true" applyBorder="true" applyAlignment="true" applyProtection="false">
      <alignment horizontal="center" vertical="bottom" textRotation="0" wrapText="false" indent="0" shrinkToFit="false"/>
      <protection locked="true" hidden="false"/>
    </xf>
    <xf numFmtId="164" fontId="0" fillId="0" borderId="5"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center" vertical="bottom" textRotation="0" wrapText="false" indent="0" shrinkToFit="false"/>
      <protection locked="true" hidden="false"/>
    </xf>
    <xf numFmtId="164" fontId="6" fillId="4" borderId="6" xfId="0" applyFont="true" applyBorder="true" applyAlignment="true" applyProtection="true">
      <alignment horizontal="center" vertical="bottom" textRotation="0" wrapText="false" indent="0" shrinkToFit="false"/>
      <protection locked="false" hidden="false"/>
    </xf>
    <xf numFmtId="164" fontId="0" fillId="0" borderId="0" xfId="0" applyFont="true" applyBorder="true" applyAlignment="false" applyProtection="false">
      <alignment horizontal="general" vertical="bottom" textRotation="0" wrapText="false" indent="0" shrinkToFit="false"/>
      <protection locked="true" hidden="false"/>
    </xf>
    <xf numFmtId="165" fontId="7" fillId="5" borderId="6" xfId="0" applyFont="true" applyBorder="true" applyAlignment="true" applyProtection="false">
      <alignment horizontal="center" vertical="bottom" textRotation="0" wrapText="false" indent="0" shrinkToFit="false"/>
      <protection locked="true" hidden="false"/>
    </xf>
    <xf numFmtId="164" fontId="0" fillId="0" borderId="7" xfId="0" applyFont="true" applyBorder="true" applyAlignment="false" applyProtection="false">
      <alignment horizontal="general" vertical="bottom" textRotation="0" wrapText="false" indent="0" shrinkToFit="false"/>
      <protection locked="true" hidden="false"/>
    </xf>
    <xf numFmtId="164" fontId="0" fillId="0" borderId="8" xfId="0" applyFont="true" applyBorder="true" applyAlignment="false" applyProtection="false">
      <alignment horizontal="general" vertical="bottom" textRotation="0" wrapText="false" indent="0" shrinkToFit="false"/>
      <protection locked="true" hidden="false"/>
    </xf>
    <xf numFmtId="165" fontId="7" fillId="5" borderId="9" xfId="0" applyFont="true" applyBorder="true" applyAlignment="true" applyProtection="false">
      <alignment horizontal="center" vertical="bottom" textRotation="0" wrapText="false" indent="0" shrinkToFit="false"/>
      <protection locked="true" hidden="false"/>
    </xf>
    <xf numFmtId="165" fontId="4" fillId="6" borderId="6" xfId="0" applyFont="true" applyBorder="true" applyAlignment="true" applyProtection="false">
      <alignment horizontal="center" vertical="bottom" textRotation="0" wrapText="false" indent="0" shrinkToFit="false"/>
      <protection locked="true" hidden="false"/>
    </xf>
    <xf numFmtId="165" fontId="7" fillId="5" borderId="4" xfId="0" applyFont="true" applyBorder="true" applyAlignment="false" applyProtection="false">
      <alignment horizontal="general" vertical="bottom" textRotation="0" wrapText="false" indent="0" shrinkToFit="false"/>
      <protection locked="true" hidden="false"/>
    </xf>
    <xf numFmtId="164" fontId="8" fillId="0" borderId="0" xfId="0" applyFont="true" applyBorder="false" applyAlignment="false" applyProtection="false">
      <alignment horizontal="general" vertical="bottom" textRotation="0" wrapText="false" indent="0" shrinkToFit="false"/>
      <protection locked="true" hidden="false"/>
    </xf>
    <xf numFmtId="166" fontId="6" fillId="4" borderId="6" xfId="0" applyFont="true" applyBorder="true" applyAlignment="true" applyProtection="true">
      <alignment horizontal="center" vertical="bottom" textRotation="0" wrapText="false" indent="0" shrinkToFit="false"/>
      <protection locked="false" hidden="false"/>
    </xf>
    <xf numFmtId="166" fontId="7" fillId="5" borderId="6" xfId="0" applyFont="true" applyBorder="true" applyAlignment="false" applyProtection="false">
      <alignment horizontal="general" vertical="bottom" textRotation="0" wrapText="false" indent="0" shrinkToFit="false"/>
      <protection locked="true" hidden="false"/>
    </xf>
    <xf numFmtId="166" fontId="0" fillId="0" borderId="0" xfId="0" applyFont="false" applyBorder="true" applyAlignment="false" applyProtection="false">
      <alignment horizontal="general" vertical="bottom" textRotation="0" wrapText="false" indent="0" shrinkToFit="false"/>
      <protection locked="true" hidden="false"/>
    </xf>
    <xf numFmtId="165" fontId="0" fillId="0" borderId="6" xfId="0" applyFont="false" applyBorder="true" applyAlignment="false" applyProtection="false">
      <alignment horizontal="general" vertical="bottom" textRotation="0" wrapText="false" indent="0" shrinkToFit="false"/>
      <protection locked="true" hidden="false"/>
    </xf>
    <xf numFmtId="164" fontId="0" fillId="0" borderId="9" xfId="0" applyFont="false" applyBorder="true" applyAlignment="false" applyProtection="false">
      <alignment horizontal="general" vertical="bottom" textRotation="0" wrapText="false" indent="0" shrinkToFit="false"/>
      <protection locked="true" hidden="false"/>
    </xf>
    <xf numFmtId="167" fontId="7" fillId="5" borderId="6" xfId="0" applyFont="true" applyBorder="true" applyAlignment="true" applyProtection="false">
      <alignment horizontal="center" vertical="bottom" textRotation="0" wrapText="false" indent="0" shrinkToFit="false"/>
      <protection locked="true" hidden="false"/>
    </xf>
    <xf numFmtId="164" fontId="0" fillId="0" borderId="10" xfId="0" applyFont="true" applyBorder="true" applyAlignment="false" applyProtection="false">
      <alignment horizontal="general" vertical="bottom" textRotation="0" wrapText="false" indent="0" shrinkToFit="false"/>
      <protection locked="true" hidden="false"/>
    </xf>
    <xf numFmtId="164" fontId="0" fillId="0" borderId="11" xfId="0" applyFont="false" applyBorder="true" applyAlignment="false" applyProtection="false">
      <alignment horizontal="general" vertical="bottom" textRotation="0" wrapText="false" indent="0" shrinkToFit="false"/>
      <protection locked="true" hidden="false"/>
    </xf>
    <xf numFmtId="165" fontId="9" fillId="5" borderId="12" xfId="0" applyFont="true" applyBorder="true" applyAlignment="false" applyProtection="false">
      <alignment horizontal="general" vertical="bottom" textRotation="0" wrapText="false" indent="0" shrinkToFit="false"/>
      <protection locked="true" hidden="false"/>
    </xf>
    <xf numFmtId="164" fontId="0" fillId="0" borderId="0" xfId="0" applyFont="true" applyBorder="true" applyAlignment="true" applyProtection="false">
      <alignment horizontal="center" vertical="bottom" textRotation="0" wrapText="false" indent="0" shrinkToFit="false"/>
      <protection locked="true" hidden="false"/>
    </xf>
    <xf numFmtId="164" fontId="0" fillId="3" borderId="1" xfId="0" applyFont="true" applyBorder="true" applyAlignment="true" applyProtection="false">
      <alignment horizontal="center" vertical="bottom" textRotation="0" wrapText="false" indent="0" shrinkToFit="false"/>
      <protection locked="true" hidden="false"/>
    </xf>
    <xf numFmtId="165" fontId="0" fillId="0" borderId="0" xfId="0" applyFont="false" applyBorder="true" applyAlignment="false" applyProtection="false">
      <alignment horizontal="general" vertical="bottom" textRotation="0" wrapText="false" indent="0" shrinkToFit="false"/>
      <protection locked="true" hidden="false"/>
    </xf>
    <xf numFmtId="164" fontId="0" fillId="0" borderId="8" xfId="0" applyFont="false" applyBorder="true" applyAlignment="true" applyProtection="false">
      <alignment horizontal="center" vertical="bottom" textRotation="0" wrapText="false" indent="0" shrinkToFit="false"/>
      <protection locked="true" hidden="false"/>
    </xf>
    <xf numFmtId="168" fontId="7" fillId="5" borderId="9" xfId="0" applyFont="true" applyBorder="true" applyAlignment="true" applyProtection="false">
      <alignment horizontal="center" vertical="bottom" textRotation="0" wrapText="false" indent="0" shrinkToFit="false"/>
      <protection locked="true" hidden="false"/>
    </xf>
    <xf numFmtId="164" fontId="4" fillId="7" borderId="0" xfId="0" applyFont="true" applyBorder="true" applyAlignment="false" applyProtection="false">
      <alignment horizontal="general" vertical="bottom" textRotation="0" wrapText="false" indent="0" shrinkToFit="false"/>
      <protection locked="true" hidden="false"/>
    </xf>
    <xf numFmtId="168" fontId="4" fillId="7" borderId="0" xfId="0" applyFont="true" applyBorder="true" applyAlignment="false" applyProtection="false">
      <alignment horizontal="general" vertical="bottom" textRotation="0" wrapText="false" indent="0" shrinkToFit="false"/>
      <protection locked="true" hidden="false"/>
    </xf>
    <xf numFmtId="164" fontId="10" fillId="0" borderId="0" xfId="0" applyFont="true" applyBorder="false" applyAlignment="false" applyProtection="false">
      <alignment horizontal="general" vertical="bottom" textRotation="0" wrapText="false" indent="0" shrinkToFit="false"/>
      <protection locked="true" hidden="false"/>
    </xf>
    <xf numFmtId="164" fontId="11" fillId="0" borderId="0" xfId="0" applyFont="true" applyBorder="false" applyAlignment="true" applyProtection="false">
      <alignment horizontal="general" vertical="bottom" textRotation="0" wrapText="true" indent="0" shrinkToFit="false"/>
      <protection locked="true" hidden="false"/>
    </xf>
    <xf numFmtId="164" fontId="12" fillId="0" borderId="0" xfId="0" applyFont="true" applyBorder="true" applyAlignment="true" applyProtection="false">
      <alignment horizontal="center" vertical="center" textRotation="0" wrapText="true" indent="0" shrinkToFit="false"/>
      <protection locked="true" hidden="false"/>
    </xf>
    <xf numFmtId="169" fontId="4" fillId="6" borderId="4" xfId="0" applyFont="true" applyBorder="true" applyAlignment="false" applyProtection="false">
      <alignment horizontal="general" vertical="bottom" textRotation="0" wrapText="false" indent="0" shrinkToFit="false"/>
      <protection locked="true" hidden="false"/>
    </xf>
    <xf numFmtId="168" fontId="4" fillId="6" borderId="9" xfId="0" applyFont="true" applyBorder="true" applyAlignment="false" applyProtection="false">
      <alignment horizontal="general" vertical="bottom" textRotation="0" wrapText="false" indent="0" shrinkToFit="false"/>
      <protection locked="true" hidden="false"/>
    </xf>
    <xf numFmtId="164" fontId="5" fillId="0" borderId="13" xfId="0" applyFont="true" applyBorder="true" applyAlignment="false" applyProtection="false">
      <alignment horizontal="general" vertical="bottom" textRotation="0" wrapText="false" indent="0" shrinkToFit="false"/>
      <protection locked="true" hidden="false"/>
    </xf>
    <xf numFmtId="164" fontId="0" fillId="0" borderId="14" xfId="0" applyFont="false" applyBorder="true" applyAlignment="false" applyProtection="false">
      <alignment horizontal="general" vertical="bottom" textRotation="0" wrapText="false" indent="0" shrinkToFit="false"/>
      <protection locked="true" hidden="false"/>
    </xf>
    <xf numFmtId="164" fontId="5" fillId="0" borderId="14" xfId="0" applyFont="true" applyBorder="true" applyAlignment="false" applyProtection="false">
      <alignment horizontal="general" vertical="bottom" textRotation="0" wrapText="false" indent="0" shrinkToFit="false"/>
      <protection locked="true" hidden="false"/>
    </xf>
    <xf numFmtId="169" fontId="4" fillId="6" borderId="15" xfId="0" applyFont="true" applyBorder="true" applyAlignment="false" applyProtection="false">
      <alignment horizontal="general" vertical="bottom" textRotation="0" wrapText="false" indent="0" shrinkToFit="false"/>
      <protection locked="true" hidden="false"/>
    </xf>
    <xf numFmtId="164" fontId="0" fillId="0" borderId="16" xfId="0" applyFont="false" applyBorder="true" applyAlignment="false" applyProtection="false">
      <alignment horizontal="general" vertical="bottom" textRotation="0" wrapText="false" indent="0" shrinkToFit="false"/>
      <protection locked="true" hidden="false"/>
    </xf>
    <xf numFmtId="164" fontId="0" fillId="0" borderId="17" xfId="0" applyFont="false" applyBorder="true" applyAlignment="false" applyProtection="false">
      <alignment horizontal="general" vertical="bottom" textRotation="0" wrapText="false" indent="0" shrinkToFit="false"/>
      <protection locked="true" hidden="false"/>
    </xf>
    <xf numFmtId="164" fontId="5" fillId="0" borderId="17" xfId="0" applyFont="true" applyBorder="true" applyAlignment="false" applyProtection="false">
      <alignment horizontal="general" vertical="bottom" textRotation="0" wrapText="false" indent="0" shrinkToFit="false"/>
      <protection locked="true" hidden="false"/>
    </xf>
    <xf numFmtId="168" fontId="4" fillId="6" borderId="18" xfId="0" applyFont="true" applyBorder="true" applyAlignment="false" applyProtection="false">
      <alignment horizontal="general"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FF0000"/>
      <rgbColor rgb="FF00FF00"/>
      <rgbColor rgb="FF0000FF"/>
      <rgbColor rgb="FFFFFF00"/>
      <rgbColor rgb="FFFF00FF"/>
      <rgbColor rgb="FF00FFFF"/>
      <rgbColor rgb="FFF10D0C"/>
      <rgbColor rgb="FF008000"/>
      <rgbColor rgb="FF000080"/>
      <rgbColor rgb="FF808000"/>
      <rgbColor rgb="FF800080"/>
      <rgbColor rgb="FF008080"/>
      <rgbColor rgb="FFC0C0C0"/>
      <rgbColor rgb="FF808080"/>
      <rgbColor rgb="FF9999FF"/>
      <rgbColor rgb="FFED1C24"/>
      <rgbColor rgb="FFFDEADA"/>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9A870"/>
      <rgbColor rgb="FF3366FF"/>
      <rgbColor rgb="FF33CCCC"/>
      <rgbColor rgb="FF89C765"/>
      <rgbColor rgb="FFFFCC00"/>
      <rgbColor rgb="FFFF9900"/>
      <rgbColor rgb="FFFF6600"/>
      <rgbColor rgb="FF666699"/>
      <rgbColor rgb="FF8F93C7"/>
      <rgbColor rgb="FF003366"/>
      <rgbColor rgb="FF339966"/>
      <rgbColor rgb="FF003300"/>
      <rgbColor rgb="FF333300"/>
      <rgbColor rgb="FFCE181E"/>
      <rgbColor rgb="FF993366"/>
      <rgbColor rgb="FF21409A"/>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absolute">
    <xdr:from>
      <xdr:col>6</xdr:col>
      <xdr:colOff>192960</xdr:colOff>
      <xdr:row>21</xdr:row>
      <xdr:rowOff>178920</xdr:rowOff>
    </xdr:from>
    <xdr:to>
      <xdr:col>7</xdr:col>
      <xdr:colOff>173520</xdr:colOff>
      <xdr:row>25</xdr:row>
      <xdr:rowOff>85680</xdr:rowOff>
    </xdr:to>
    <xdr:sp>
      <xdr:nvSpPr>
        <xdr:cNvPr id="0" name="CustomShape 1"/>
        <xdr:cNvSpPr/>
      </xdr:nvSpPr>
      <xdr:spPr>
        <a:xfrm>
          <a:off x="7265520" y="4025520"/>
          <a:ext cx="2329200" cy="672480"/>
        </a:xfrm>
        <a:prstGeom prst="rect">
          <a:avLst/>
        </a:prstGeom>
        <a:noFill/>
        <a:ln w="0">
          <a:noFill/>
        </a:ln>
      </xdr:spPr>
      <xdr:style>
        <a:lnRef idx="0"/>
        <a:fillRef idx="0"/>
        <a:effectRef idx="0"/>
        <a:fontRef idx="minor"/>
      </xdr:style>
      <xdr:txBody>
        <a:bodyPr lIns="0" rIns="0" tIns="0" bIns="0">
          <a:noAutofit/>
        </a:bodyPr>
        <a:p>
          <a:pPr>
            <a:lnSpc>
              <a:spcPct val="100000"/>
            </a:lnSpc>
          </a:pPr>
          <a:r>
            <a:rPr b="0" lang="en-US" sz="1200" spc="-1" strike="noStrike">
              <a:solidFill>
                <a:srgbClr val="ce181e"/>
              </a:solidFill>
              <a:latin typeface="Times New Roman"/>
            </a:rPr>
            <a:t>Approximate method, DO NOT USE FOR DETAIL DESIGN. ALWAYS CONSULT A REPUTABLE COMPANY</a:t>
          </a:r>
          <a:endParaRPr b="0" lang="en-SG" sz="1200" spc="-1" strike="noStrike">
            <a:latin typeface="Times New Roman"/>
          </a:endParaRPr>
        </a:p>
      </xdr:txBody>
    </xdr:sp>
    <xdr:clientData/>
  </xdr:twoCellAnchor>
</xdr:wsDr>
</file>

<file path=xl/worksheets/_rels/sheet1.xml.rels><?xml version="1.0" encoding="UTF-8"?>
<Relationships xmlns="http://schemas.openxmlformats.org/package/2006/relationships"><Relationship Id="rId1" Type="http://schemas.openxmlformats.org/officeDocument/2006/relationships/hyperlink" Target="mailto:admin@powderprocess.net" TargetMode="External"/><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O1048576"/>
  <sheetViews>
    <sheetView showFormulas="false" showGridLines="true" showRowColHeaders="true" showZeros="true" rightToLeft="false" tabSelected="true" showOutlineSymbols="true" defaultGridColor="true" view="normal" topLeftCell="A1" colorId="64" zoomScale="70" zoomScaleNormal="70" zoomScalePageLayoutView="100" workbookViewId="0">
      <selection pane="topLeft" activeCell="C34" activeCellId="0" sqref="C34"/>
    </sheetView>
  </sheetViews>
  <sheetFormatPr defaultColWidth="11.43359375" defaultRowHeight="15" zeroHeight="false" outlineLevelRow="0" outlineLevelCol="0"/>
  <cols>
    <col collapsed="false" customWidth="true" hidden="false" outlineLevel="0" max="2" min="2" style="0" width="42.57"/>
    <col collapsed="false" customWidth="true" hidden="false" outlineLevel="0" max="4" min="4" style="0" width="11.99"/>
    <col collapsed="false" customWidth="true" hidden="false" outlineLevel="0" max="7" min="7" style="0" width="33.29"/>
    <col collapsed="false" customWidth="true" hidden="false" outlineLevel="0" max="10" min="10" style="0" width="11.99"/>
    <col collapsed="false" customWidth="true" hidden="false" outlineLevel="0" max="14" min="14" style="0" width="11.99"/>
  </cols>
  <sheetData>
    <row r="1" s="2" customFormat="true" ht="12.8" hidden="false" customHeight="false" outlineLevel="0" collapsed="false">
      <c r="A1" s="1" t="s">
        <v>0</v>
      </c>
    </row>
    <row r="2" customFormat="false" ht="13.8" hidden="false" customHeight="false" outlineLevel="0" collapsed="false">
      <c r="B2" s="3"/>
    </row>
    <row r="3" customFormat="false" ht="13.8" hidden="false" customHeight="false" outlineLevel="0" collapsed="false">
      <c r="B3" s="4" t="s">
        <v>1</v>
      </c>
      <c r="C3" s="4"/>
      <c r="D3" s="4"/>
      <c r="E3" s="4"/>
      <c r="F3" s="4"/>
      <c r="G3" s="4"/>
      <c r="H3" s="4"/>
      <c r="I3" s="4"/>
      <c r="J3" s="4"/>
    </row>
    <row r="4" customFormat="false" ht="15.75" hidden="false" customHeight="false" outlineLevel="0" collapsed="false">
      <c r="B4" s="5" t="s">
        <v>2</v>
      </c>
      <c r="C4" s="5"/>
      <c r="D4" s="5"/>
      <c r="E4" s="5"/>
      <c r="G4" s="5" t="s">
        <v>3</v>
      </c>
      <c r="H4" s="5"/>
      <c r="I4" s="5"/>
      <c r="J4" s="5"/>
    </row>
    <row r="5" customFormat="false" ht="13.8" hidden="false" customHeight="false" outlineLevel="0" collapsed="false">
      <c r="B5" s="6" t="s">
        <v>4</v>
      </c>
      <c r="C5" s="7"/>
      <c r="D5" s="7"/>
      <c r="E5" s="8" t="s">
        <v>5</v>
      </c>
      <c r="G5" s="6" t="s">
        <v>6</v>
      </c>
      <c r="H5" s="9" t="s">
        <v>7</v>
      </c>
      <c r="I5" s="9" t="s">
        <v>8</v>
      </c>
      <c r="J5" s="10" t="n">
        <f aca="false">4*E21*(8.314/(29/1000))*(273.15+E14)/(PI()*E25^2*(1+E15)*100000)</f>
        <v>17.1690171428571</v>
      </c>
    </row>
    <row r="6" customFormat="false" ht="13.8" hidden="false" customHeight="false" outlineLevel="0" collapsed="false">
      <c r="B6" s="11" t="s">
        <v>9</v>
      </c>
      <c r="C6" s="12"/>
      <c r="D6" s="12"/>
      <c r="E6" s="13" t="s">
        <v>10</v>
      </c>
      <c r="G6" s="11" t="s">
        <v>11</v>
      </c>
      <c r="H6" s="14" t="s">
        <v>12</v>
      </c>
      <c r="I6" s="14" t="s">
        <v>8</v>
      </c>
      <c r="J6" s="15" t="n">
        <f aca="false">4*E21*(8.314/(29/1000))*(273.15+E14)/(PI()*E25^2*(1+E17)*100000)</f>
        <v>30.04578</v>
      </c>
    </row>
    <row r="7" customFormat="false" ht="13.8" hidden="false" customHeight="false" outlineLevel="0" collapsed="false">
      <c r="B7" s="11" t="s">
        <v>13</v>
      </c>
      <c r="C7" s="12"/>
      <c r="D7" s="12" t="s">
        <v>14</v>
      </c>
      <c r="E7" s="13" t="n">
        <v>30000</v>
      </c>
      <c r="G7" s="16" t="s">
        <v>15</v>
      </c>
      <c r="H7" s="17" t="s">
        <v>16</v>
      </c>
      <c r="I7" s="17" t="s">
        <v>8</v>
      </c>
      <c r="J7" s="18" t="n">
        <f aca="false">(J5+J6)/2</f>
        <v>23.6073985714286</v>
      </c>
    </row>
    <row r="8" customFormat="false" ht="13.8" hidden="false" customHeight="false" outlineLevel="0" collapsed="false">
      <c r="B8" s="11" t="s">
        <v>17</v>
      </c>
      <c r="C8" s="12"/>
      <c r="D8" s="12" t="s">
        <v>18</v>
      </c>
      <c r="E8" s="13" t="n">
        <v>750</v>
      </c>
    </row>
    <row r="9" customFormat="false" ht="13.8" hidden="false" customHeight="false" outlineLevel="0" collapsed="false">
      <c r="B9" s="11" t="s">
        <v>19</v>
      </c>
      <c r="C9" s="12"/>
      <c r="D9" s="12" t="s">
        <v>8</v>
      </c>
      <c r="E9" s="13" t="n">
        <v>14.2</v>
      </c>
      <c r="G9" s="5" t="s">
        <v>20</v>
      </c>
      <c r="H9" s="5"/>
      <c r="I9" s="5"/>
      <c r="J9" s="5"/>
    </row>
    <row r="10" customFormat="false" ht="15" hidden="false" customHeight="false" outlineLevel="0" collapsed="false">
      <c r="B10" s="11" t="s">
        <v>21</v>
      </c>
      <c r="C10" s="12"/>
      <c r="D10" s="12" t="s">
        <v>8</v>
      </c>
      <c r="E10" s="19" t="n">
        <f aca="false">E9*1.2</f>
        <v>17.04</v>
      </c>
      <c r="G10" s="6" t="s">
        <v>20</v>
      </c>
      <c r="H10" s="9" t="s">
        <v>22</v>
      </c>
      <c r="I10" s="9" t="s">
        <v>23</v>
      </c>
      <c r="J10" s="20" t="n">
        <f aca="false">H15</f>
        <v>0.00448423358263694</v>
      </c>
      <c r="L10" s="3" t="s">
        <v>24</v>
      </c>
      <c r="M10" s="21"/>
      <c r="N10" s="21"/>
      <c r="O10" s="21"/>
    </row>
    <row r="11" customFormat="false" ht="13.8" hidden="false" customHeight="false" outlineLevel="0" collapsed="false">
      <c r="B11" s="11" t="s">
        <v>25</v>
      </c>
      <c r="C11" s="12"/>
      <c r="D11" s="12"/>
      <c r="E11" s="22" t="s">
        <v>26</v>
      </c>
      <c r="G11" s="11" t="s">
        <v>27</v>
      </c>
      <c r="H11" s="14" t="s">
        <v>28</v>
      </c>
      <c r="I11" s="14" t="s">
        <v>23</v>
      </c>
      <c r="J11" s="23" t="n">
        <f aca="false">E25*J7*((E16+E18)/2)/E13</f>
        <v>421158.369881894</v>
      </c>
    </row>
    <row r="12" customFormat="false" ht="13.8" hidden="false" customHeight="false" outlineLevel="0" collapsed="false">
      <c r="B12" s="11" t="s">
        <v>29</v>
      </c>
      <c r="C12" s="12" t="s">
        <v>30</v>
      </c>
      <c r="D12" s="12" t="s">
        <v>31</v>
      </c>
      <c r="E12" s="22" t="n">
        <v>29</v>
      </c>
      <c r="G12" s="11" t="s">
        <v>32</v>
      </c>
      <c r="H12" s="14" t="n">
        <f aca="false">8*(I12^12+J12)^(1/12)</f>
        <v>0.0179369343305478</v>
      </c>
      <c r="I12" s="24" t="n">
        <f aca="false">8/J11</f>
        <v>1.89952297570233E-005</v>
      </c>
      <c r="J12" s="25" t="n">
        <f aca="false">1/(H13+H14)^1.5</f>
        <v>1.61398232250099E-032</v>
      </c>
    </row>
    <row r="13" customFormat="false" ht="13.8" hidden="false" customHeight="false" outlineLevel="0" collapsed="false">
      <c r="B13" s="11" t="s">
        <v>33</v>
      </c>
      <c r="C13" s="12" t="s">
        <v>34</v>
      </c>
      <c r="D13" s="12" t="s">
        <v>35</v>
      </c>
      <c r="E13" s="22" t="n">
        <v>1.8E-005</v>
      </c>
      <c r="G13" s="11" t="s">
        <v>36</v>
      </c>
      <c r="H13" s="14" t="n">
        <f aca="false">(2.457*LN(1/((I13)^0.9+J13)))^16</f>
        <v>1.56579229218407E+021</v>
      </c>
      <c r="I13" s="24" t="n">
        <f aca="false">7/J11</f>
        <v>1.66208260373954E-005</v>
      </c>
      <c r="J13" s="25" t="n">
        <f aca="false">0.27*(E26/1000)/E25</f>
        <v>0.000135</v>
      </c>
    </row>
    <row r="14" customFormat="false" ht="13.8" hidden="false" customHeight="false" outlineLevel="0" collapsed="false">
      <c r="B14" s="11" t="s">
        <v>37</v>
      </c>
      <c r="C14" s="12" t="s">
        <v>38</v>
      </c>
      <c r="D14" s="12" t="s">
        <v>39</v>
      </c>
      <c r="E14" s="22" t="n">
        <v>27</v>
      </c>
      <c r="G14" s="11" t="s">
        <v>40</v>
      </c>
      <c r="H14" s="14" t="n">
        <f aca="false">(37530/J11)^16</f>
        <v>1.58099338830571E-017</v>
      </c>
      <c r="I14" s="14"/>
      <c r="J14" s="25"/>
    </row>
    <row r="15" customFormat="false" ht="15.75" hidden="false" customHeight="false" outlineLevel="0" collapsed="false">
      <c r="B15" s="11" t="s">
        <v>41</v>
      </c>
      <c r="C15" s="12" t="s">
        <v>42</v>
      </c>
      <c r="D15" s="12" t="s">
        <v>43</v>
      </c>
      <c r="E15" s="15" t="n">
        <f aca="false">IF(E5="Pressure",E8/1000,0)</f>
        <v>0.75</v>
      </c>
      <c r="G15" s="16"/>
      <c r="H15" s="17" t="n">
        <f aca="false">H12/4</f>
        <v>0.00448423358263694</v>
      </c>
      <c r="I15" s="17"/>
      <c r="J15" s="26"/>
    </row>
    <row r="16" customFormat="false" ht="15.75" hidden="false" customHeight="false" outlineLevel="0" collapsed="false">
      <c r="B16" s="11" t="s">
        <v>44</v>
      </c>
      <c r="C16" s="12" t="s">
        <v>45</v>
      </c>
      <c r="D16" s="12" t="s">
        <v>46</v>
      </c>
      <c r="E16" s="27" t="n">
        <f aca="false">(1.01325+E15)*100000*($E$12/1000)/(8.314*(273.15+$E$14))</f>
        <v>2.0491017421287</v>
      </c>
    </row>
    <row r="17" customFormat="false" ht="15.75" hidden="false" customHeight="false" outlineLevel="0" collapsed="false">
      <c r="B17" s="11" t="s">
        <v>47</v>
      </c>
      <c r="C17" s="12" t="s">
        <v>48</v>
      </c>
      <c r="D17" s="12" t="s">
        <v>43</v>
      </c>
      <c r="E17" s="15" t="n">
        <f aca="false">IF(E5="Pressure",0,-E8/1000)</f>
        <v>0</v>
      </c>
      <c r="G17" s="28" t="s">
        <v>49</v>
      </c>
      <c r="H17" s="29"/>
      <c r="I17" s="29"/>
      <c r="J17" s="30" t="n">
        <f aca="false">4*J10*E30/E25</f>
        <v>16.5916642557567</v>
      </c>
    </row>
    <row r="18" customFormat="false" ht="15.75" hidden="false" customHeight="false" outlineLevel="0" collapsed="false">
      <c r="B18" s="11" t="s">
        <v>44</v>
      </c>
      <c r="C18" s="12" t="s">
        <v>45</v>
      </c>
      <c r="D18" s="12" t="s">
        <v>46</v>
      </c>
      <c r="E18" s="27" t="n">
        <f aca="false">(1+E17)*100000*($E$12/1000)/(8.314*(273.15+$E$14))</f>
        <v>1.16211639990285</v>
      </c>
      <c r="F18" s="14"/>
      <c r="G18" s="14"/>
      <c r="H18" s="14"/>
      <c r="I18" s="14"/>
      <c r="J18" s="14"/>
      <c r="K18" s="14"/>
      <c r="L18" s="14"/>
      <c r="M18" s="14"/>
      <c r="N18" s="14"/>
      <c r="O18" s="14"/>
    </row>
    <row r="19" customFormat="false" ht="13.8" hidden="false" customHeight="false" outlineLevel="0" collapsed="false">
      <c r="B19" s="11" t="s">
        <v>50</v>
      </c>
      <c r="C19" s="14"/>
      <c r="D19" s="31" t="s">
        <v>51</v>
      </c>
      <c r="E19" s="27" t="n">
        <f aca="false">E10*PI()*E25^2/4*3600</f>
        <v>1927.17859741812</v>
      </c>
      <c r="F19" s="14"/>
      <c r="G19" s="32" t="s">
        <v>52</v>
      </c>
      <c r="H19" s="32"/>
      <c r="I19" s="32"/>
      <c r="J19" s="32"/>
      <c r="K19" s="14"/>
      <c r="L19" s="14"/>
      <c r="M19" s="14"/>
      <c r="N19" s="14"/>
      <c r="O19" s="14"/>
    </row>
    <row r="20" customFormat="false" ht="15" hidden="false" customHeight="false" outlineLevel="0" collapsed="false">
      <c r="B20" s="11" t="s">
        <v>53</v>
      </c>
      <c r="C20" s="12" t="s">
        <v>54</v>
      </c>
      <c r="D20" s="12" t="s">
        <v>14</v>
      </c>
      <c r="E20" s="27" t="n">
        <f aca="false">E19*E16</f>
        <v>3948.98502136261</v>
      </c>
      <c r="F20" s="14"/>
      <c r="G20" s="14" t="s">
        <v>55</v>
      </c>
      <c r="H20" s="14" t="s">
        <v>56</v>
      </c>
      <c r="I20" s="33" t="n">
        <f aca="false">101.3*(((1+J17*J6^2/(287*(E14+273.15)))^0.5-1))*10/1000</f>
        <v>0.0845399498470741</v>
      </c>
      <c r="J20" s="14" t="s">
        <v>57</v>
      </c>
      <c r="K20" s="14"/>
      <c r="L20" s="14"/>
      <c r="M20" s="14"/>
      <c r="N20" s="14"/>
      <c r="O20" s="14"/>
    </row>
    <row r="21" customFormat="false" ht="15.75" hidden="false" customHeight="false" outlineLevel="0" collapsed="false">
      <c r="B21" s="16"/>
      <c r="C21" s="34"/>
      <c r="D21" s="34" t="s">
        <v>58</v>
      </c>
      <c r="E21" s="35" t="n">
        <f aca="false">E20/3600</f>
        <v>1.09694028371184</v>
      </c>
      <c r="F21" s="14"/>
      <c r="G21" s="14" t="s">
        <v>42</v>
      </c>
      <c r="H21" s="14" t="s">
        <v>56</v>
      </c>
      <c r="I21" s="33" t="n">
        <f aca="false">0.5*(101.3+I20*100+((101.3+I20*100)^2+((E7/1000)*(273.15+E14)*I20*100)/(2.46*J5*E25^2))^0.5)*10/1000</f>
        <v>1.7436014296248</v>
      </c>
      <c r="J21" s="14" t="s">
        <v>59</v>
      </c>
      <c r="K21" s="14"/>
      <c r="L21" s="14"/>
      <c r="M21" s="14"/>
      <c r="N21" s="33"/>
      <c r="O21" s="33"/>
    </row>
    <row r="22" customFormat="false" ht="15" hidden="false" customHeight="false" outlineLevel="0" collapsed="false">
      <c r="E22" s="0" t="n">
        <f aca="false">E7/E20</f>
        <v>7.59688877970178</v>
      </c>
      <c r="F22" s="14"/>
      <c r="G22" s="36" t="s">
        <v>60</v>
      </c>
      <c r="H22" s="36" t="s">
        <v>56</v>
      </c>
      <c r="I22" s="37" t="n">
        <f aca="false">I21-1.01325</f>
        <v>0.730351429624798</v>
      </c>
      <c r="J22" s="36" t="s">
        <v>61</v>
      </c>
      <c r="K22" s="14"/>
      <c r="L22" s="14"/>
      <c r="M22" s="14"/>
      <c r="N22" s="14"/>
      <c r="O22" s="14"/>
    </row>
    <row r="23" customFormat="false" ht="15.75" hidden="false" customHeight="false" outlineLevel="0" collapsed="false">
      <c r="E23" s="0" t="n">
        <f aca="false">E7/3600/(PI()*E25^2/4)</f>
        <v>265.258238486492</v>
      </c>
      <c r="F23" s="14"/>
      <c r="G23" s="14"/>
      <c r="H23" s="14"/>
      <c r="I23" s="14"/>
      <c r="J23" s="14"/>
      <c r="K23" s="14"/>
      <c r="L23" s="14"/>
      <c r="M23" s="14"/>
      <c r="N23" s="14"/>
      <c r="O23" s="14"/>
    </row>
    <row r="24" customFormat="false" ht="15.75" hidden="false" customHeight="false" outlineLevel="0" collapsed="false">
      <c r="B24" s="5" t="s">
        <v>62</v>
      </c>
      <c r="C24" s="5"/>
      <c r="D24" s="5"/>
      <c r="E24" s="5"/>
      <c r="F24" s="14"/>
      <c r="G24" s="32" t="s">
        <v>63</v>
      </c>
      <c r="H24" s="32"/>
      <c r="I24" s="32"/>
      <c r="J24" s="32"/>
      <c r="K24" s="14"/>
      <c r="L24" s="14"/>
      <c r="M24" s="14"/>
      <c r="N24" s="14"/>
      <c r="O24" s="14"/>
    </row>
    <row r="25" customFormat="false" ht="13.8" hidden="false" customHeight="false" outlineLevel="0" collapsed="false">
      <c r="B25" s="6" t="s">
        <v>64</v>
      </c>
      <c r="C25" s="7" t="s">
        <v>65</v>
      </c>
      <c r="D25" s="7" t="s">
        <v>66</v>
      </c>
      <c r="E25" s="8" t="n">
        <v>0.2</v>
      </c>
      <c r="F25" s="14"/>
      <c r="G25" s="14" t="s">
        <v>55</v>
      </c>
      <c r="H25" s="14" t="s">
        <v>56</v>
      </c>
      <c r="I25" s="14" t="n">
        <f aca="false">101.3*(1-(1-J17*J5^2/(287*(E14+273.15)))^0.5)/100</f>
        <v>0.029176949543834</v>
      </c>
      <c r="J25" s="33" t="s">
        <v>67</v>
      </c>
      <c r="K25" s="14"/>
      <c r="L25" s="14"/>
      <c r="M25" s="14"/>
      <c r="N25" s="14"/>
      <c r="O25" s="14"/>
    </row>
    <row r="26" customFormat="false" ht="13.8" hidden="false" customHeight="false" outlineLevel="0" collapsed="false">
      <c r="B26" s="11" t="s">
        <v>68</v>
      </c>
      <c r="C26" s="12" t="s">
        <v>69</v>
      </c>
      <c r="D26" s="12" t="s">
        <v>70</v>
      </c>
      <c r="E26" s="13" t="n">
        <v>0.1</v>
      </c>
      <c r="F26" s="14"/>
      <c r="G26" s="36" t="s">
        <v>60</v>
      </c>
      <c r="H26" s="36" t="s">
        <v>56</v>
      </c>
      <c r="I26" s="37" t="n">
        <f aca="false">I25*(0.1015*E7/1000*(273.15+'Air only pressure drop'!E14)/('Air only pressure drop'!J5*'Air only pressure drop'!E25^2*101.3)+1)</f>
        <v>0.412487398392785</v>
      </c>
      <c r="J26" s="36" t="s">
        <v>61</v>
      </c>
      <c r="K26" s="14"/>
      <c r="L26" s="14"/>
      <c r="M26" s="14"/>
      <c r="N26" s="14"/>
      <c r="O26" s="14"/>
    </row>
    <row r="27" customFormat="false" ht="13.8" hidden="false" customHeight="false" outlineLevel="0" collapsed="false">
      <c r="B27" s="11" t="s">
        <v>71</v>
      </c>
      <c r="C27" s="12"/>
      <c r="D27" s="12"/>
      <c r="E27" s="13" t="n">
        <v>110</v>
      </c>
      <c r="F27" s="14"/>
      <c r="G27" s="14"/>
      <c r="H27" s="14"/>
      <c r="I27" s="14"/>
      <c r="J27" s="14"/>
      <c r="K27" s="14"/>
      <c r="L27" s="14"/>
      <c r="M27" s="14"/>
      <c r="N27" s="14"/>
      <c r="O27" s="14"/>
    </row>
    <row r="28" customFormat="false" ht="13.8" hidden="false" customHeight="false" outlineLevel="0" collapsed="false">
      <c r="B28" s="11" t="s">
        <v>72</v>
      </c>
      <c r="C28" s="12"/>
      <c r="D28" s="12"/>
      <c r="E28" s="13" t="n">
        <v>25</v>
      </c>
      <c r="F28" s="14"/>
      <c r="G28" s="14"/>
      <c r="H28" s="14"/>
      <c r="I28" s="14"/>
      <c r="J28" s="14"/>
      <c r="K28" s="14"/>
      <c r="L28" s="14"/>
      <c r="M28" s="14"/>
      <c r="N28" s="14"/>
      <c r="O28" s="14"/>
    </row>
    <row r="29" customFormat="false" ht="13.8" hidden="false" customHeight="false" outlineLevel="0" collapsed="false">
      <c r="B29" s="11" t="s">
        <v>73</v>
      </c>
      <c r="C29" s="12"/>
      <c r="D29" s="12"/>
      <c r="E29" s="13" t="n">
        <v>5</v>
      </c>
      <c r="F29" s="14"/>
      <c r="G29" s="33"/>
      <c r="H29" s="14"/>
      <c r="I29" s="14"/>
      <c r="J29" s="14"/>
      <c r="K29" s="14"/>
      <c r="L29" s="14"/>
      <c r="M29" s="14"/>
      <c r="N29" s="14"/>
      <c r="O29" s="14"/>
    </row>
    <row r="30" customFormat="false" ht="13.8" hidden="false" customHeight="false" outlineLevel="0" collapsed="false">
      <c r="B30" s="16" t="s">
        <v>74</v>
      </c>
      <c r="C30" s="34" t="s">
        <v>75</v>
      </c>
      <c r="D30" s="34" t="s">
        <v>66</v>
      </c>
      <c r="E30" s="18" t="n">
        <f aca="false">E27+2*E28+5*E29</f>
        <v>185</v>
      </c>
      <c r="F30" s="14"/>
      <c r="G30" s="14"/>
      <c r="H30" s="14"/>
      <c r="I30" s="14"/>
      <c r="J30" s="14"/>
      <c r="K30" s="14"/>
      <c r="L30" s="14"/>
      <c r="M30" s="14"/>
      <c r="N30" s="14"/>
      <c r="O30" s="14"/>
    </row>
    <row r="31" customFormat="false" ht="15" hidden="false" customHeight="false" outlineLevel="0" collapsed="false">
      <c r="F31" s="14"/>
      <c r="G31" s="14"/>
      <c r="H31" s="14"/>
      <c r="I31" s="14"/>
      <c r="J31" s="14"/>
      <c r="K31" s="14"/>
      <c r="L31" s="14"/>
      <c r="M31" s="14"/>
      <c r="N31" s="14"/>
      <c r="O31" s="14"/>
    </row>
    <row r="32" customFormat="false" ht="12.8" hidden="false" customHeight="false" outlineLevel="0" collapsed="false">
      <c r="B32" s="38" t="s">
        <v>76</v>
      </c>
    </row>
    <row r="33" customFormat="false" ht="12.8" hidden="false" customHeight="false" outlineLevel="0" collapsed="false"/>
    <row r="34" customFormat="false" ht="12.8" hidden="false" customHeight="false" outlineLevel="0" collapsed="false">
      <c r="B34" s="39" t="s">
        <v>77</v>
      </c>
      <c r="K34" s="14"/>
      <c r="L34" s="14"/>
      <c r="M34" s="14"/>
      <c r="N34" s="14"/>
      <c r="O34" s="14"/>
    </row>
    <row r="35" customFormat="false" ht="12.8" hidden="false" customHeight="false" outlineLevel="0" collapsed="false">
      <c r="K35" s="14"/>
      <c r="L35" s="14"/>
      <c r="M35" s="14"/>
      <c r="N35" s="14"/>
      <c r="O35" s="14"/>
    </row>
    <row r="36" customFormat="false" ht="17.1" hidden="false" customHeight="true" outlineLevel="0" collapsed="false">
      <c r="B36" s="40" t="s">
        <v>78</v>
      </c>
      <c r="C36" s="40"/>
      <c r="D36" s="40"/>
      <c r="E36" s="40"/>
      <c r="F36" s="40"/>
      <c r="G36" s="40"/>
      <c r="H36" s="40"/>
      <c r="I36" s="40"/>
      <c r="J36" s="40"/>
    </row>
    <row r="38" s="2" customFormat="true" ht="12.8" hidden="false" customHeight="false" outlineLevel="0" collapsed="false">
      <c r="A38" s="1" t="s">
        <v>0</v>
      </c>
    </row>
    <row r="45" customFormat="false" ht="15" hidden="false" customHeight="false" outlineLevel="0" collapsed="false">
      <c r="J45" s="0" t="n">
        <f aca="false">64*J10*E30*E21^2*(8.314/(E12/1000))*(273.15+E14)/(PI()^2*E25^5)</f>
        <v>1740630330.36739</v>
      </c>
    </row>
    <row r="46" customFormat="false" ht="15" hidden="false" customHeight="false" outlineLevel="0" collapsed="false">
      <c r="G46" s="0" t="s">
        <v>79</v>
      </c>
      <c r="J46" s="0" t="n">
        <f aca="false">(E17*10^5+101325)^2</f>
        <v>10266755625</v>
      </c>
    </row>
    <row r="47" customFormat="false" ht="15" hidden="false" customHeight="false" outlineLevel="0" collapsed="false">
      <c r="J47" s="0" t="n">
        <f aca="false">(J46+J45)^0.5</f>
        <v>109578.218434903</v>
      </c>
    </row>
    <row r="48" customFormat="false" ht="15" hidden="false" customHeight="false" outlineLevel="0" collapsed="false">
      <c r="J48" s="0" t="n">
        <f aca="false">(E15*10^5+101325)^2</f>
        <v>31090505625</v>
      </c>
    </row>
    <row r="49" customFormat="false" ht="15.75" hidden="false" customHeight="false" outlineLevel="0" collapsed="false">
      <c r="J49" s="0" t="n">
        <f aca="false">(J48-J45)^0.5</f>
        <v>171318.053031876</v>
      </c>
    </row>
    <row r="50" customFormat="false" ht="15" hidden="false" customHeight="false" outlineLevel="0" collapsed="false">
      <c r="G50" s="6" t="s">
        <v>80</v>
      </c>
      <c r="H50" s="9" t="s">
        <v>81</v>
      </c>
      <c r="I50" s="9" t="s">
        <v>82</v>
      </c>
      <c r="J50" s="41" t="n">
        <f aca="false">IF(E5="Pressure",J47-(E17*10^5+101325),(E15*10^5+101325)-J49)</f>
        <v>8253.21843490332</v>
      </c>
    </row>
    <row r="51" customFormat="false" ht="15.75" hidden="false" customHeight="false" outlineLevel="0" collapsed="false">
      <c r="G51" s="16"/>
      <c r="H51" s="17" t="s">
        <v>81</v>
      </c>
      <c r="I51" s="17" t="s">
        <v>56</v>
      </c>
      <c r="J51" s="42" t="n">
        <f aca="false">J50/100000</f>
        <v>0.0825321843490332</v>
      </c>
    </row>
    <row r="55" customFormat="false" ht="15.75" hidden="false" customHeight="false" outlineLevel="0" collapsed="false">
      <c r="J55" s="0" t="n">
        <f aca="false">16*J17*E21^2*8.314/(E12/1000)*(273.15+E14)/(PI()^2*E25^4)</f>
        <v>1740630330.36739</v>
      </c>
    </row>
    <row r="56" customFormat="false" ht="15" hidden="false" customHeight="false" outlineLevel="0" collapsed="false">
      <c r="G56" s="43" t="s">
        <v>83</v>
      </c>
      <c r="H56" s="44"/>
      <c r="I56" s="45" t="s">
        <v>82</v>
      </c>
      <c r="J56" s="46" t="n">
        <f aca="false">IF(E5="Pressure",(J46+J55)^0.5-(E17*100000+101325),(E15*100000+101325)*(1-(1-J17*J5^2/(8.314/(E12/1000)*(E14+273.15)))^0.5))</f>
        <v>8253.21843490332</v>
      </c>
      <c r="K56" s="0" t="n">
        <f aca="false">(E17*10^5+101325)*((1+J17*J6^2/((8.314/(E12/1000)*(273.15+E14))))^0.5-1)</f>
        <v>8464.8822685155</v>
      </c>
    </row>
    <row r="57" customFormat="false" ht="15.75" hidden="false" customHeight="false" outlineLevel="0" collapsed="false">
      <c r="G57" s="47"/>
      <c r="H57" s="48"/>
      <c r="I57" s="49" t="s">
        <v>56</v>
      </c>
      <c r="J57" s="50" t="n">
        <f aca="false">J56/100000</f>
        <v>0.0825321843490332</v>
      </c>
      <c r="K57" s="0" t="n">
        <f aca="false">K56/100000</f>
        <v>0.084648822685155</v>
      </c>
    </row>
    <row r="99" customFormat="false" ht="15" hidden="false" customHeight="false" outlineLevel="0" collapsed="false">
      <c r="B99" s="0" t="s">
        <v>5</v>
      </c>
    </row>
    <row r="100" customFormat="false" ht="15" hidden="false" customHeight="false" outlineLevel="0" collapsed="false">
      <c r="B100" s="0" t="s">
        <v>84</v>
      </c>
    </row>
    <row r="1048569" customFormat="false" ht="12.8" hidden="false" customHeight="false" outlineLevel="0" collapsed="false"/>
    <row r="1048570" customFormat="false" ht="12.8" hidden="false" customHeight="false" outlineLevel="0" collapsed="false"/>
    <row r="1048571" customFormat="false" ht="12.8" hidden="false" customHeight="false" outlineLevel="0" collapsed="false"/>
    <row r="1048572" customFormat="false" ht="12.8" hidden="false" customHeight="false" outlineLevel="0" collapsed="false"/>
    <row r="1048573" customFormat="false" ht="12.8" hidden="false" customHeight="false" outlineLevel="0" collapsed="false"/>
    <row r="1048574" customFormat="false" ht="12.8" hidden="false" customHeight="false" outlineLevel="0" collapsed="false"/>
    <row r="1048575" customFormat="false" ht="12.8" hidden="false" customHeight="false" outlineLevel="0" collapsed="false"/>
    <row r="1048576" customFormat="false" ht="12.8" hidden="false" customHeight="false" outlineLevel="0" collapsed="false"/>
  </sheetData>
  <sheetProtection sheet="true" password="c80a" objects="true" scenarios="true"/>
  <mergeCells count="8">
    <mergeCell ref="B3:J3"/>
    <mergeCell ref="B4:E4"/>
    <mergeCell ref="G4:J4"/>
    <mergeCell ref="G9:J9"/>
    <mergeCell ref="G19:J19"/>
    <mergeCell ref="B24:E24"/>
    <mergeCell ref="G24:J24"/>
    <mergeCell ref="B36:J36"/>
  </mergeCells>
  <hyperlinks>
    <hyperlink ref="B32" r:id="rId1" display="If you spot a mistake or wish to suggest an improvement, please contact admin@powderprocess.net"/>
  </hyperlinks>
  <printOptions headings="false" gridLines="false" gridLinesSet="true" horizontalCentered="false" verticalCentered="false"/>
  <pageMargins left="0.7875" right="0.7875" top="1.05277777777778" bottom="1.05277777777778" header="0.7875" footer="0.7875"/>
  <pageSetup paperSize="1" scale="100" fitToWidth="1" fitToHeight="1" pageOrder="downThenOver" orientation="portrait" blackAndWhite="false" draft="false" cellComments="none" firstPageNumber="1" useFirstPageNumber="true" horizontalDpi="300" verticalDpi="300" copies="1"/>
  <headerFooter differentFirst="false" differentOddEven="false">
    <oddHeader>&amp;C&amp;"Times New Roman,Regular"&amp;12&amp;A</oddHeader>
    <oddFooter>&amp;C&amp;"Times New Roman,Regular"&amp;12Page &amp;P</oddFooter>
  </headerFooter>
  <drawing r:id="rId2"/>
</worksheet>
</file>

<file path=docProps/app.xml><?xml version="1.0" encoding="utf-8"?>
<Properties xmlns="http://schemas.openxmlformats.org/officeDocument/2006/extended-properties" xmlns:vt="http://schemas.openxmlformats.org/officeDocument/2006/docPropsVTypes">
  <Template/>
  <TotalTime>21</TotalTime>
  <Application>LibreOffice/7.1.6.2$Windows_X86_64 LibreOffice_project/0e133318fcee89abacd6a7d077e292f1145735c3</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2018-09-20T19:39:57Z</dcterms:created>
  <dc:creator/>
  <dc:description/>
  <dc:language>en-US</dc:language>
  <cp:lastModifiedBy/>
  <dcterms:modified xsi:type="dcterms:W3CDTF">2021-12-14T20:38:40Z</dcterms:modified>
  <cp:revision>9</cp:revision>
  <dc:subject/>
  <dc:title/>
</cp:coreProperties>
</file>