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10.jpeg" ContentType="image/jpe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Input data" sheetId="1" state="visible" r:id="rId2"/>
    <sheet name="Surface requirements" sheetId="2" state="visible" r:id="rId3"/>
    <sheet name="Condenser geometry &amp; surf calc" sheetId="3" state="visible" r:id="rId4"/>
    <sheet name="Tfilm initialization" sheetId="4" state="visible" r:id="rId5"/>
    <sheet name="htube" sheetId="5" state="visible" r:id="rId6"/>
    <sheet name="hshell" sheetId="6" state="visible" r:id="rId7"/>
    <sheet name="Tfilm iteration" sheetId="7" state="visible" r:id="rId8"/>
    <sheet name="H calculated" sheetId="8" state="visible" r:id="rId9"/>
  </sheet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<sst xmlns="http://schemas.openxmlformats.org/spreadsheetml/2006/main" count="255" uniqueCount="127">
  <si>
    <t xml:space="preserve">FOR EDUCATIONAL PURPOSE ONLY – DO NOT USE THIS METHOD FOR DETAIL DESIGN – ALWAYS CONSULT A REPUTABLE SUPPLIER FOR DETAIL DESIGN</t>
  </si>
  <si>
    <t xml:space="preserve">Condenser sizing calculation tool</t>
  </si>
  <si>
    <t xml:space="preserve">Input</t>
  </si>
  <si>
    <t xml:space="preserve">Results</t>
  </si>
  <si>
    <t xml:space="preserve">Orientation</t>
  </si>
  <si>
    <t xml:space="preserve">Heat exchange area</t>
  </si>
  <si>
    <t xml:space="preserve">m2</t>
  </si>
  <si>
    <t xml:space="preserve">Condenser</t>
  </si>
  <si>
    <t xml:space="preserve">Horizontal</t>
  </si>
  <si>
    <t xml:space="preserve">Number of tubes</t>
  </si>
  <si>
    <t xml:space="preserve">Tube length</t>
  </si>
  <si>
    <t xml:space="preserve">m</t>
  </si>
  <si>
    <t xml:space="preserve">Tout</t>
  </si>
  <si>
    <t xml:space="preserve">Tin</t>
  </si>
  <si>
    <t xml:space="preserve">Cooling fluid</t>
  </si>
  <si>
    <t xml:space="preserve">Number of passes</t>
  </si>
  <si>
    <t xml:space="preserve">Water</t>
  </si>
  <si>
    <t xml:space="preserve">Overall heat exchange coefficient</t>
  </si>
  <si>
    <t xml:space="preserve">Vapor</t>
  </si>
  <si>
    <t xml:space="preserve">Steam</t>
  </si>
  <si>
    <t xml:space="preserve">Condensation at saturation temperature</t>
  </si>
  <si>
    <t xml:space="preserve">Name</t>
  </si>
  <si>
    <t xml:space="preserve">Temperature of condensation</t>
  </si>
  <si>
    <t xml:space="preserve">Thcond</t>
  </si>
  <si>
    <t xml:space="preserve">c</t>
  </si>
  <si>
    <t xml:space="preserve">Temperature inlet</t>
  </si>
  <si>
    <t xml:space="preserve">Tc_in</t>
  </si>
  <si>
    <t xml:space="preserve">Flowrate</t>
  </si>
  <si>
    <t xml:space="preserve">kg/s</t>
  </si>
  <si>
    <t xml:space="preserve">Temperature outlet</t>
  </si>
  <si>
    <t xml:space="preserve">Tc_out</t>
  </si>
  <si>
    <t xml:space="preserve">Latent heat</t>
  </si>
  <si>
    <t xml:space="preserve">kJ/kg</t>
  </si>
  <si>
    <t xml:space="preserve">Specific heat capacity</t>
  </si>
  <si>
    <t xml:space="preserve">Cp`</t>
  </si>
  <si>
    <t xml:space="preserve">kJ/kg/c</t>
  </si>
  <si>
    <t xml:space="preserve">Specific heat capacity of condensate</t>
  </si>
  <si>
    <t xml:space="preserve">To be efficient, the calculation tool requires to express the physical properties as a function of the temperature</t>
  </si>
  <si>
    <t xml:space="preserve">If you spot a mistake or wish to suggest an improvement, please contact powder.process@protonmail.com</t>
  </si>
  <si>
    <t xml:space="preserve">Copyright www.PowderProcess.net</t>
  </si>
  <si>
    <t xml:space="preserve">The content of PowderProcess.net is copyrighted but no warranty nor liability is ensured. The content of this site is to be seen as a help and important information and calculation must always be double checked by the user through the quality procedure of his organization or by checking another source. The user must always respect all applicable regulation. The use of the information is at the user and its organization own risk and own cost.</t>
  </si>
  <si>
    <t xml:space="preserve">DO NOT USE THIS METHOD FOR DETAIL DESIGN – ALWAYS CONSULT A REPUTABLE SUPPLIER FOR DETAIL DESIGN</t>
  </si>
  <si>
    <t xml:space="preserve">Heat flux hot side</t>
  </si>
  <si>
    <t xml:space="preserve">kW</t>
  </si>
  <si>
    <t xml:space="preserve">Heat flux cold side</t>
  </si>
  <si>
    <t xml:space="preserve">Difference in between values</t>
  </si>
  <si>
    <t xml:space="preserve">If the values are NOT equal, please review the fluid input data</t>
  </si>
  <si>
    <t xml:space="preserve">Estimated overall heat transfer coefficient</t>
  </si>
  <si>
    <t xml:space="preserve">H</t>
  </si>
  <si>
    <t xml:space="preserve">kW/m2.K</t>
  </si>
  <si>
    <t xml:space="preserve">Tvapor in</t>
  </si>
  <si>
    <t xml:space="preserve">Tcooling in</t>
  </si>
  <si>
    <t xml:space="preserve">Tcondensate out</t>
  </si>
  <si>
    <t xml:space="preserve">Tcooling out</t>
  </si>
  <si>
    <t xml:space="preserve">DT1</t>
  </si>
  <si>
    <t xml:space="preserve">DT2</t>
  </si>
  <si>
    <t xml:space="preserve">Dtml</t>
  </si>
  <si>
    <t xml:space="preserve">Required HX area</t>
  </si>
  <si>
    <t xml:space="preserve">S</t>
  </si>
  <si>
    <t xml:space="preserve">Please select a condenser geometry allowing a larger surface than the calculated one</t>
  </si>
  <si>
    <t xml:space="preserve">Please use standard shell tube HX geometry</t>
  </si>
  <si>
    <t xml:space="preserve">Pass tubes</t>
  </si>
  <si>
    <t xml:space="preserve">Rear end type</t>
  </si>
  <si>
    <t xml:space="preserve">Shell inside diameter</t>
  </si>
  <si>
    <t xml:space="preserve">mm</t>
  </si>
  <si>
    <t xml:space="preserve">Tube outside diameter</t>
  </si>
  <si>
    <t xml:space="preserve">inch</t>
  </si>
  <si>
    <t xml:space="preserve">Tube inside diameter</t>
  </si>
  <si>
    <t xml:space="preserve">Tube pitch</t>
  </si>
  <si>
    <t xml:space="preserve">Square</t>
  </si>
  <si>
    <t xml:space="preserve">Pitch length</t>
  </si>
  <si>
    <t xml:space="preserve">Tube count</t>
  </si>
  <si>
    <t xml:space="preserve">ft</t>
  </si>
  <si>
    <t xml:space="preserve">Material of tubes</t>
  </si>
  <si>
    <t xml:space="preserve">Mild steel</t>
  </si>
  <si>
    <t xml:space="preserve">Conductivity of tubes</t>
  </si>
  <si>
    <t xml:space="preserve">Required</t>
  </si>
  <si>
    <t xml:space="preserve">HX area calculated &gt; HX area required ?</t>
  </si>
  <si>
    <t xml:space="preserve">Initialization</t>
  </si>
  <si>
    <t xml:space="preserve">Tf</t>
  </si>
  <si>
    <t xml:space="preserve">do</t>
  </si>
  <si>
    <t xml:space="preserve">di</t>
  </si>
  <si>
    <t xml:space="preserve">Twall</t>
  </si>
  <si>
    <t xml:space="preserve">Tfilm</t>
  </si>
  <si>
    <r>
      <rPr>
        <sz val="10"/>
        <rFont val="Arial"/>
        <family val="2"/>
        <charset val="134"/>
      </rPr>
      <t xml:space="preserve">Use Twall from Tfilm initialization for 1</t>
    </r>
    <r>
      <rPr>
        <vertAlign val="superscript"/>
        <sz val="10"/>
        <rFont val="Arial"/>
        <family val="2"/>
        <charset val="134"/>
      </rPr>
      <t xml:space="preserve">st</t>
    </r>
    <r>
      <rPr>
        <sz val="10"/>
        <rFont val="Arial"/>
        <family val="2"/>
        <charset val="134"/>
      </rPr>
      <t xml:space="preserve"> calculation, then use value from Tfilm iteration afterwards</t>
    </r>
  </si>
  <si>
    <t xml:space="preserve">Density</t>
  </si>
  <si>
    <t xml:space="preserve">kg/m3</t>
  </si>
  <si>
    <t xml:space="preserve">use correlation as a function of T if possible</t>
  </si>
  <si>
    <t xml:space="preserve">Viscosity</t>
  </si>
  <si>
    <t xml:space="preserve">Pa.s</t>
  </si>
  <si>
    <t xml:space="preserve">Viscosity at tube T</t>
  </si>
  <si>
    <t xml:space="preserve">Thermal conductivity</t>
  </si>
  <si>
    <t xml:space="preserve">W/mK</t>
  </si>
  <si>
    <t xml:space="preserve">Heat exchanger characteristics</t>
  </si>
  <si>
    <t xml:space="preserve">Tube cross section</t>
  </si>
  <si>
    <t xml:space="preserve">Pass tube</t>
  </si>
  <si>
    <t xml:space="preserve">Total passing area</t>
  </si>
  <si>
    <t xml:space="preserve">Fluid velocity</t>
  </si>
  <si>
    <t xml:space="preserve">m/s</t>
  </si>
  <si>
    <t xml:space="preserve">Reynolds</t>
  </si>
  <si>
    <t xml:space="preserve">Prandlt</t>
  </si>
  <si>
    <t xml:space="preserve">Laminar flow</t>
  </si>
  <si>
    <t xml:space="preserve">Nusselt</t>
  </si>
  <si>
    <t xml:space="preserve">htube</t>
  </si>
  <si>
    <t xml:space="preserve">(W.m-2.K-1)</t>
  </si>
  <si>
    <t xml:space="preserve">Turbulent flow</t>
  </si>
  <si>
    <t xml:space="preserve">Condenser orientation</t>
  </si>
  <si>
    <t xml:space="preserve">hshell</t>
  </si>
  <si>
    <r>
      <rPr>
        <sz val="10"/>
        <rFont val="Arial"/>
        <family val="2"/>
        <charset val="134"/>
      </rPr>
      <t xml:space="preserve">Use Tfilm from Tfilm initialization for 1</t>
    </r>
    <r>
      <rPr>
        <vertAlign val="superscript"/>
        <sz val="10"/>
        <rFont val="Arial"/>
        <family val="2"/>
        <charset val="134"/>
      </rPr>
      <t xml:space="preserve">st</t>
    </r>
    <r>
      <rPr>
        <sz val="10"/>
        <rFont val="Arial"/>
        <family val="2"/>
        <charset val="134"/>
      </rPr>
      <t xml:space="preserve"> calculation, then use value from Tfilm iteration afterwards</t>
    </r>
  </si>
  <si>
    <t xml:space="preserve">Horizontal tubes</t>
  </si>
  <si>
    <t xml:space="preserve">Vertical Tubes</t>
  </si>
  <si>
    <t xml:space="preserve">Density of condensate</t>
  </si>
  <si>
    <t xml:space="preserve">Viscosity of condensate</t>
  </si>
  <si>
    <t xml:space="preserve">Viscosity of condensate at tube T</t>
  </si>
  <si>
    <t xml:space="preserve">Thermal conductivity of condensate</t>
  </si>
  <si>
    <t xml:space="preserve">mass flowrate of condensate per unit of length of tube </t>
  </si>
  <si>
    <t xml:space="preserve">hshell (Laminar flow)</t>
  </si>
  <si>
    <t xml:space="preserve">Copy here the value of htube calculated</t>
  </si>
  <si>
    <t xml:space="preserve">Copy here the value of hshell calculated</t>
  </si>
  <si>
    <t xml:space="preserve">Rtube</t>
  </si>
  <si>
    <t xml:space="preserve">Rsheel</t>
  </si>
  <si>
    <t xml:space="preserve">Tube internal diameter</t>
  </si>
  <si>
    <t xml:space="preserve">Overall heat transfer coefficient</t>
  </si>
  <si>
    <t xml:space="preserve">Hcalculated</t>
  </si>
  <si>
    <t xml:space="preserve">Hrequired</t>
  </si>
  <si>
    <t xml:space="preserve">Hcalculated &gt; Hrequired</t>
  </si>
  <si>
    <t xml:space="preserve">Hcalculated &gt;&gt; Hrequired ?</t>
  </si>
</sst>
</file>

<file path=xl/styles.xml><?xml version="1.0" encoding="utf-8"?>
<styleSheet xmlns="http://schemas.openxmlformats.org/spreadsheetml/2006/main">
  <numFmts count="5">
    <numFmt numFmtId="164" formatCode="General"/>
    <numFmt numFmtId="165" formatCode="General"/>
    <numFmt numFmtId="166" formatCode="0.00%"/>
    <numFmt numFmtId="167" formatCode="0.0"/>
    <numFmt numFmtId="168" formatCode="0.00E+00"/>
  </numFmts>
  <fonts count="12">
    <font>
      <sz val="10"/>
      <name val="Arial"/>
      <family val="2"/>
      <charset val="134"/>
    </font>
    <font>
      <sz val="10"/>
      <name val="Arial"/>
      <family val="0"/>
      <charset val="134"/>
    </font>
    <font>
      <sz val="10"/>
      <name val="Arial"/>
      <family val="0"/>
      <charset val="134"/>
    </font>
    <font>
      <sz val="10"/>
      <name val="Arial"/>
      <family val="0"/>
      <charset val="134"/>
    </font>
    <font>
      <sz val="10"/>
      <name val="Arial"/>
      <family val="2"/>
      <charset val="1"/>
    </font>
    <font>
      <b val="true"/>
      <sz val="14"/>
      <name val="Arial"/>
      <family val="2"/>
      <charset val="1"/>
    </font>
    <font>
      <b val="true"/>
      <sz val="10"/>
      <name val="Arial"/>
      <family val="2"/>
      <charset val="134"/>
    </font>
    <font>
      <sz val="10"/>
      <color rgb="FF0000FF"/>
      <name val="Arial"/>
      <family val="2"/>
      <charset val="1"/>
    </font>
    <font>
      <sz val="10"/>
      <name val="Times New Roman"/>
      <family val="1"/>
      <charset val="1"/>
    </font>
    <font>
      <i val="true"/>
      <sz val="7"/>
      <name val="Times New Roman"/>
      <family val="1"/>
      <charset val="1"/>
    </font>
    <font>
      <sz val="10"/>
      <color rgb="FFCE181E"/>
      <name val="Arial"/>
      <family val="2"/>
      <charset val="134"/>
    </font>
    <font>
      <vertAlign val="superscript"/>
      <sz val="10"/>
      <name val="Arial"/>
      <family val="2"/>
      <charset val="134"/>
    </font>
  </fonts>
  <fills count="7">
    <fill>
      <patternFill patternType="none"/>
    </fill>
    <fill>
      <patternFill patternType="gray125"/>
    </fill>
    <fill>
      <patternFill patternType="solid">
        <fgColor rgb="FFF10D0C"/>
        <bgColor rgb="FFCE181E"/>
      </patternFill>
    </fill>
    <fill>
      <patternFill patternType="solid">
        <fgColor rgb="FFE0EFD4"/>
        <bgColor rgb="FFFFFFCC"/>
      </patternFill>
    </fill>
    <fill>
      <patternFill patternType="solid">
        <fgColor rgb="FFCE181E"/>
        <bgColor rgb="FFF10D0C"/>
      </patternFill>
    </fill>
    <fill>
      <patternFill patternType="solid">
        <fgColor rgb="FFFCD3C1"/>
        <bgColor rgb="FFE0EFD4"/>
      </patternFill>
    </fill>
    <fill>
      <patternFill patternType="solid">
        <fgColor rgb="FFC2E0AE"/>
        <bgColor rgb="FFE0EFD4"/>
      </patternFill>
    </fill>
  </fills>
  <borders count="8">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top/>
      <bottom/>
      <diagonal/>
    </border>
    <border diagonalUp="false" diagonalDown="false">
      <left/>
      <right style="hair"/>
      <top/>
      <bottom/>
      <diagonal/>
    </border>
    <border diagonalUp="false" diagonalDown="false">
      <left style="hair"/>
      <right/>
      <top/>
      <bottom style="hair"/>
      <diagonal/>
    </border>
    <border diagonalUp="false" diagonalDown="false">
      <left/>
      <right/>
      <top/>
      <bottom style="hair"/>
      <diagonal/>
    </border>
    <border diagonalUp="false" diagonalDown="false">
      <left/>
      <right style="hair"/>
      <top/>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0" fillId="0" borderId="1" xfId="0" applyFont="fals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6" fillId="0" borderId="2" xfId="0" applyFont="true" applyBorder="true" applyAlignment="true" applyProtection="false">
      <alignment horizontal="center" vertical="center" textRotation="0" wrapText="false" indent="0" shrinkToFit="false"/>
      <protection locked="true" hidden="false"/>
    </xf>
    <xf numFmtId="164" fontId="0" fillId="0" borderId="3" xfId="0" applyFont="false" applyBorder="true" applyAlignment="false" applyProtection="false">
      <alignment horizontal="general" vertical="bottom" textRotation="0" wrapText="false" indent="0" shrinkToFit="false"/>
      <protection locked="true" hidden="false"/>
    </xf>
    <xf numFmtId="164" fontId="0" fillId="0" borderId="4" xfId="0" applyFont="false" applyBorder="true" applyAlignment="false" applyProtection="false">
      <alignment horizontal="general" vertical="bottom" textRotation="0" wrapText="false" indent="0" shrinkToFit="false"/>
      <protection locked="true" hidden="false"/>
    </xf>
    <xf numFmtId="164" fontId="0" fillId="3" borderId="0" xfId="0" applyFont="true" applyBorder="false" applyAlignment="false" applyProtection="true">
      <alignment horizontal="general" vertical="bottom" textRotation="0" wrapText="false" indent="0" shrinkToFit="false"/>
      <protection locked="false" hidden="false"/>
    </xf>
    <xf numFmtId="164" fontId="0" fillId="0" borderId="3" xfId="0" applyFont="true" applyBorder="true" applyAlignment="true" applyProtection="false">
      <alignment horizontal="center" vertical="center" textRotation="0" wrapText="false" indent="0" shrinkToFit="false"/>
      <protection locked="true" hidden="false"/>
    </xf>
    <xf numFmtId="164" fontId="0" fillId="0" borderId="4"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false" applyProtection="true">
      <alignment horizontal="general" vertical="bottom" textRotation="0" wrapText="false" indent="0" shrinkToFit="false"/>
      <protection locked="false" hidden="false"/>
    </xf>
    <xf numFmtId="164" fontId="0" fillId="0" borderId="5" xfId="0" applyFont="true" applyBorder="true" applyAlignment="false" applyProtection="false">
      <alignment horizontal="general" vertical="bottom" textRotation="0" wrapText="false" indent="0" shrinkToFit="false"/>
      <protection locked="true" hidden="false"/>
    </xf>
    <xf numFmtId="164" fontId="0" fillId="0" borderId="6" xfId="0" applyFont="false" applyBorder="true" applyAlignment="false" applyProtection="false">
      <alignment horizontal="general" vertical="bottom" textRotation="0" wrapText="false" indent="0" shrinkToFit="false"/>
      <protection locked="true" hidden="false"/>
    </xf>
    <xf numFmtId="164" fontId="0" fillId="3" borderId="6" xfId="0" applyFont="false" applyBorder="true" applyAlignment="false" applyProtection="true">
      <alignment horizontal="general" vertical="bottom" textRotation="0" wrapText="false" indent="0" shrinkToFit="false"/>
      <protection locked="false" hidden="false"/>
    </xf>
    <xf numFmtId="164" fontId="0" fillId="0" borderId="7" xfId="0" applyFont="true" applyBorder="true" applyAlignment="false" applyProtection="fals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8" fillId="0" borderId="0" xfId="0" applyFont="true" applyBorder="false" applyAlignment="true" applyProtection="false">
      <alignment horizontal="general" vertical="bottom" textRotation="0" wrapText="false" indent="0" shrinkToFit="false"/>
      <protection locked="true" hidden="false"/>
    </xf>
    <xf numFmtId="164" fontId="9" fillId="0" borderId="0" xfId="0" applyFont="true" applyBorder="true" applyAlignment="true" applyProtection="false">
      <alignment horizontal="center" vertical="center" textRotation="0" wrapText="true" indent="0" shrinkToFit="false"/>
      <protection locked="true" hidden="false"/>
    </xf>
    <xf numFmtId="164" fontId="4" fillId="4" borderId="0" xfId="0" applyFont="true" applyBorder="false" applyAlignment="false" applyProtection="false">
      <alignment horizontal="general" vertical="bottom" textRotation="0" wrapText="false" indent="0" shrinkToFit="false"/>
      <protection locked="tru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5" fontId="10" fillId="5" borderId="0" xfId="0" applyFont="true" applyBorder="false" applyAlignment="false" applyProtection="false">
      <alignment horizontal="general" vertical="bottom" textRotation="0" wrapText="false" indent="0" shrinkToFit="false"/>
      <protection locked="true" hidden="false"/>
    </xf>
    <xf numFmtId="166" fontId="10" fillId="5" borderId="0" xfId="0" applyFont="true" applyBorder="false" applyAlignment="false" applyProtection="false">
      <alignment horizontal="general" vertical="bottom" textRotation="0" wrapText="false" indent="0" shrinkToFit="false"/>
      <protection locked="true" hidden="false"/>
    </xf>
    <xf numFmtId="164" fontId="6" fillId="6" borderId="0" xfId="0" applyFont="true" applyBorder="false" applyAlignment="false" applyProtection="true">
      <alignment horizontal="general" vertical="bottom" textRotation="0" wrapText="false" indent="0" shrinkToFit="false"/>
      <protection locked="false" hidden="false"/>
    </xf>
    <xf numFmtId="167" fontId="10" fillId="5"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8" fontId="0" fillId="3" borderId="0" xfId="0" applyFont="false" applyBorder="false" applyAlignment="false" applyProtection="true">
      <alignment horizontal="general"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10D0C"/>
      <rgbColor rgb="FF00FF00"/>
      <rgbColor rgb="FF0000FF"/>
      <rgbColor rgb="FFFFFF00"/>
      <rgbColor rgb="FFFF00FF"/>
      <rgbColor rgb="FF00FFFF"/>
      <rgbColor rgb="FF800000"/>
      <rgbColor rgb="FF008000"/>
      <rgbColor rgb="FF000080"/>
      <rgbColor rgb="FF808000"/>
      <rgbColor rgb="FF800080"/>
      <rgbColor rgb="FF008080"/>
      <rgbColor rgb="FFC2E0AE"/>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E0EFD4"/>
      <rgbColor rgb="FFFFFF99"/>
      <rgbColor rgb="FF99CCFF"/>
      <rgbColor rgb="FFFF99CC"/>
      <rgbColor rgb="FFCC99FF"/>
      <rgbColor rgb="FFFCD3C1"/>
      <rgbColor rgb="FF3366FF"/>
      <rgbColor rgb="FF33CCCC"/>
      <rgbColor rgb="FF99CC00"/>
      <rgbColor rgb="FFFFCC00"/>
      <rgbColor rgb="FFFF9900"/>
      <rgbColor rgb="FFFF6600"/>
      <rgbColor rgb="FF666699"/>
      <rgbColor rgb="FF969696"/>
      <rgbColor rgb="FF003366"/>
      <rgbColor rgb="FF339966"/>
      <rgbColor rgb="FF003300"/>
      <rgbColor rgb="FF333300"/>
      <rgbColor rgb="FFCE18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0.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4</xdr:col>
      <xdr:colOff>172440</xdr:colOff>
      <xdr:row>17</xdr:row>
      <xdr:rowOff>125280</xdr:rowOff>
    </xdr:from>
    <xdr:to>
      <xdr:col>7</xdr:col>
      <xdr:colOff>565920</xdr:colOff>
      <xdr:row>23</xdr:row>
      <xdr:rowOff>124560</xdr:rowOff>
    </xdr:to>
    <xdr:sp>
      <xdr:nvSpPr>
        <xdr:cNvPr id="0" name="CustomShape 1"/>
        <xdr:cNvSpPr/>
      </xdr:nvSpPr>
      <xdr:spPr>
        <a:xfrm>
          <a:off x="3428640" y="2888640"/>
          <a:ext cx="2835720" cy="974520"/>
        </a:xfrm>
        <a:prstGeom prst="rect">
          <a:avLst/>
        </a:prstGeom>
        <a:solidFill>
          <a:srgbClr val="729fcf"/>
        </a:solidFill>
        <a:ln w="0">
          <a:solidFill>
            <a:srgbClr val="3465a4"/>
          </a:solidFill>
        </a:ln>
      </xdr:spPr>
      <xdr:style>
        <a:lnRef idx="0"/>
        <a:fillRef idx="0"/>
        <a:effectRef idx="0"/>
        <a:fontRef idx="minor"/>
      </xdr:style>
    </xdr:sp>
    <xdr:clientData/>
  </xdr:twoCellAnchor>
  <xdr:twoCellAnchor editAs="absolute">
    <xdr:from>
      <xdr:col>3</xdr:col>
      <xdr:colOff>320040</xdr:colOff>
      <xdr:row>22</xdr:row>
      <xdr:rowOff>50040</xdr:rowOff>
    </xdr:from>
    <xdr:to>
      <xdr:col>8</xdr:col>
      <xdr:colOff>553320</xdr:colOff>
      <xdr:row>23</xdr:row>
      <xdr:rowOff>11880</xdr:rowOff>
    </xdr:to>
    <xdr:sp>
      <xdr:nvSpPr>
        <xdr:cNvPr id="1" name="CustomShape 1"/>
        <xdr:cNvSpPr/>
      </xdr:nvSpPr>
      <xdr:spPr>
        <a:xfrm>
          <a:off x="2761920" y="3626280"/>
          <a:ext cx="4303800" cy="124200"/>
        </a:xfrm>
        <a:custGeom>
          <a:avLst/>
          <a:gdLst/>
          <a:ahLst/>
          <a:rect l="l" t="t" r="r" b="b"/>
          <a:pathLst>
            <a:path w="11941" h="349">
              <a:moveTo>
                <a:pt x="0" y="87"/>
              </a:moveTo>
              <a:lnTo>
                <a:pt x="8955" y="87"/>
              </a:lnTo>
              <a:lnTo>
                <a:pt x="8955" y="0"/>
              </a:lnTo>
              <a:lnTo>
                <a:pt x="11940" y="174"/>
              </a:lnTo>
              <a:lnTo>
                <a:pt x="8955" y="348"/>
              </a:lnTo>
              <a:lnTo>
                <a:pt x="8955" y="261"/>
              </a:lnTo>
              <a:lnTo>
                <a:pt x="0" y="261"/>
              </a:lnTo>
              <a:lnTo>
                <a:pt x="0" y="87"/>
              </a:lnTo>
            </a:path>
          </a:pathLst>
        </a:custGeom>
        <a:solidFill>
          <a:srgbClr val="ed1c24"/>
        </a:solidFill>
        <a:ln w="0">
          <a:solidFill>
            <a:srgbClr val="3465a4"/>
          </a:solidFill>
        </a:ln>
      </xdr:spPr>
      <xdr:style>
        <a:lnRef idx="0"/>
        <a:fillRef idx="0"/>
        <a:effectRef idx="0"/>
        <a:fontRef idx="minor"/>
      </xdr:style>
    </xdr:sp>
    <xdr:clientData/>
  </xdr:twoCellAnchor>
  <xdr:twoCellAnchor editAs="absolute">
    <xdr:from>
      <xdr:col>3</xdr:col>
      <xdr:colOff>271080</xdr:colOff>
      <xdr:row>19</xdr:row>
      <xdr:rowOff>75600</xdr:rowOff>
    </xdr:from>
    <xdr:to>
      <xdr:col>8</xdr:col>
      <xdr:colOff>492120</xdr:colOff>
      <xdr:row>20</xdr:row>
      <xdr:rowOff>74880</xdr:rowOff>
    </xdr:to>
    <xdr:sp>
      <xdr:nvSpPr>
        <xdr:cNvPr id="2" name="CustomShape 1"/>
        <xdr:cNvSpPr/>
      </xdr:nvSpPr>
      <xdr:spPr>
        <a:xfrm>
          <a:off x="2712960" y="3164040"/>
          <a:ext cx="4291560" cy="162000"/>
        </a:xfrm>
        <a:custGeom>
          <a:avLst/>
          <a:gdLst/>
          <a:ahLst/>
          <a:rect l="l" t="t" r="r" b="b"/>
          <a:pathLst>
            <a:path w="11907" h="454">
              <a:moveTo>
                <a:pt x="11906" y="113"/>
              </a:moveTo>
              <a:lnTo>
                <a:pt x="2976" y="113"/>
              </a:lnTo>
              <a:lnTo>
                <a:pt x="2976" y="0"/>
              </a:lnTo>
              <a:lnTo>
                <a:pt x="0" y="226"/>
              </a:lnTo>
              <a:lnTo>
                <a:pt x="2976" y="453"/>
              </a:lnTo>
              <a:lnTo>
                <a:pt x="2976" y="339"/>
              </a:lnTo>
              <a:lnTo>
                <a:pt x="11906" y="339"/>
              </a:lnTo>
              <a:lnTo>
                <a:pt x="11906" y="113"/>
              </a:lnTo>
            </a:path>
          </a:pathLst>
        </a:custGeom>
        <a:solidFill>
          <a:srgbClr val="729fcf"/>
        </a:solidFill>
        <a:ln w="0">
          <a:solidFill>
            <a:srgbClr val="3465a4"/>
          </a:solidFill>
        </a:ln>
      </xdr:spPr>
      <xdr:style>
        <a:lnRef idx="0"/>
        <a:fillRef idx="0"/>
        <a:effectRef idx="0"/>
        <a:fontRef idx="minor"/>
      </xdr:style>
    </xdr:sp>
    <xdr:clientData/>
  </xdr:twoCellAnchor>
  <xdr:twoCellAnchor editAs="absolute">
    <xdr:from>
      <xdr:col>1</xdr:col>
      <xdr:colOff>682200</xdr:colOff>
      <xdr:row>1</xdr:row>
      <xdr:rowOff>28800</xdr:rowOff>
    </xdr:from>
    <xdr:to>
      <xdr:col>7</xdr:col>
      <xdr:colOff>626400</xdr:colOff>
      <xdr:row>4</xdr:row>
      <xdr:rowOff>132840</xdr:rowOff>
    </xdr:to>
    <xdr:pic>
      <xdr:nvPicPr>
        <xdr:cNvPr id="3" name="Image 2" descr=""/>
        <xdr:cNvPicPr/>
      </xdr:nvPicPr>
      <xdr:blipFill>
        <a:blip r:embed="rId1"/>
        <a:stretch/>
      </xdr:blipFill>
      <xdr:spPr>
        <a:xfrm>
          <a:off x="1496160" y="191160"/>
          <a:ext cx="4828680" cy="59184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powder.process@protonmail.com" TargetMode="External"/><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Q45"/>
  <sheetViews>
    <sheetView showFormulas="false" showGridLines="true" showRowColHeaders="true" showZeros="true" rightToLeft="false" tabSelected="true" showOutlineSymbols="true" defaultGridColor="true" view="normal" topLeftCell="A1" colorId="64" zoomScale="80" zoomScaleNormal="80" zoomScalePageLayoutView="100" workbookViewId="0">
      <selection pane="topLeft" activeCell="A45" activeCellId="0" sqref="45:45"/>
    </sheetView>
  </sheetViews>
  <sheetFormatPr defaultColWidth="11.55078125" defaultRowHeight="12.8" zeroHeight="false" outlineLevelRow="0" outlineLevelCol="0"/>
  <cols>
    <col collapsed="false" customWidth="true" hidden="false" outlineLevel="0" max="15" min="15" style="0" width="29.84"/>
  </cols>
  <sheetData>
    <row r="1" s="2" customFormat="true" ht="12.8" hidden="false" customHeight="false" outlineLevel="0" collapsed="false">
      <c r="A1" s="1" t="s">
        <v>0</v>
      </c>
    </row>
    <row r="2" customFormat="false" ht="12.8" hidden="false" customHeight="false" outlineLevel="0" collapsed="false">
      <c r="B2" s="3"/>
      <c r="C2" s="3"/>
      <c r="D2" s="3"/>
      <c r="E2" s="3"/>
      <c r="F2" s="3"/>
      <c r="G2" s="3"/>
      <c r="H2" s="3"/>
      <c r="I2" s="3"/>
      <c r="J2" s="3"/>
    </row>
    <row r="3" customFormat="false" ht="12.8" hidden="false" customHeight="false" outlineLevel="0" collapsed="false">
      <c r="B3" s="3"/>
      <c r="C3" s="3"/>
      <c r="D3" s="3"/>
      <c r="E3" s="3"/>
      <c r="F3" s="3"/>
      <c r="G3" s="3"/>
      <c r="H3" s="3"/>
      <c r="I3" s="3"/>
      <c r="J3" s="3"/>
    </row>
    <row r="4" customFormat="false" ht="12.8" hidden="false" customHeight="false" outlineLevel="0" collapsed="false">
      <c r="B4" s="3"/>
      <c r="C4" s="3"/>
      <c r="D4" s="3"/>
      <c r="E4" s="3"/>
      <c r="F4" s="3"/>
      <c r="G4" s="3"/>
      <c r="H4" s="3"/>
      <c r="I4" s="3"/>
      <c r="J4" s="3"/>
    </row>
    <row r="5" customFormat="false" ht="12.8" hidden="false" customHeight="false" outlineLevel="0" collapsed="false">
      <c r="B5" s="3"/>
      <c r="C5" s="3"/>
      <c r="D5" s="3"/>
      <c r="E5" s="3"/>
      <c r="F5" s="3"/>
      <c r="G5" s="3"/>
      <c r="H5" s="3"/>
      <c r="I5" s="3"/>
      <c r="J5" s="3"/>
    </row>
    <row r="6" customFormat="false" ht="12.8" hidden="false" customHeight="true" outlineLevel="0" collapsed="false">
      <c r="B6" s="4" t="s">
        <v>1</v>
      </c>
      <c r="C6" s="4"/>
      <c r="D6" s="4"/>
      <c r="E6" s="4"/>
      <c r="F6" s="4"/>
      <c r="G6" s="4"/>
      <c r="H6" s="4"/>
      <c r="I6" s="4"/>
      <c r="J6" s="4"/>
    </row>
    <row r="7" customFormat="false" ht="12.8" hidden="false" customHeight="false" outlineLevel="0" collapsed="false">
      <c r="B7" s="4"/>
      <c r="C7" s="4"/>
      <c r="D7" s="4"/>
      <c r="E7" s="4"/>
      <c r="F7" s="4"/>
      <c r="G7" s="4"/>
      <c r="H7" s="4"/>
      <c r="I7" s="4"/>
      <c r="J7" s="4"/>
    </row>
    <row r="8" customFormat="false" ht="12.8" hidden="false" customHeight="false" outlineLevel="0" collapsed="false">
      <c r="B8" s="4"/>
      <c r="C8" s="4"/>
      <c r="D8" s="4"/>
      <c r="E8" s="4"/>
      <c r="F8" s="4"/>
      <c r="G8" s="4"/>
      <c r="H8" s="4"/>
      <c r="I8" s="4"/>
      <c r="J8" s="4"/>
    </row>
    <row r="9" customFormat="false" ht="12.8" hidden="false" customHeight="false" outlineLevel="0" collapsed="false">
      <c r="B9" s="4"/>
      <c r="C9" s="4"/>
      <c r="D9" s="4"/>
      <c r="E9" s="4"/>
      <c r="F9" s="4"/>
      <c r="G9" s="4"/>
      <c r="H9" s="4"/>
      <c r="I9" s="4"/>
      <c r="J9" s="4"/>
    </row>
    <row r="14" customFormat="false" ht="12.8" hidden="false" customHeight="false" outlineLevel="0" collapsed="false">
      <c r="B14" s="5" t="s">
        <v>2</v>
      </c>
      <c r="C14" s="5"/>
      <c r="D14" s="5"/>
      <c r="E14" s="5"/>
      <c r="F14" s="5"/>
      <c r="G14" s="5"/>
      <c r="H14" s="5"/>
      <c r="I14" s="5"/>
      <c r="J14" s="5"/>
      <c r="K14" s="5"/>
      <c r="L14" s="5"/>
      <c r="M14" s="5"/>
      <c r="O14" s="5" t="s">
        <v>3</v>
      </c>
      <c r="P14" s="5"/>
      <c r="Q14" s="5"/>
    </row>
    <row r="15" customFormat="false" ht="12.8" hidden="false" customHeight="false" outlineLevel="0" collapsed="false">
      <c r="B15" s="6"/>
      <c r="M15" s="7"/>
      <c r="O15" s="6"/>
      <c r="Q15" s="7"/>
    </row>
    <row r="16" customFormat="false" ht="12.8" hidden="false" customHeight="false" outlineLevel="0" collapsed="false">
      <c r="B16" s="6"/>
      <c r="G16" s="0" t="s">
        <v>4</v>
      </c>
      <c r="M16" s="7"/>
      <c r="O16" s="6" t="s">
        <v>5</v>
      </c>
      <c r="P16" s="0" t="n">
        <f aca="false">'Condenser geometry &amp; surf calc'!C26</f>
        <v>13.1338578582071</v>
      </c>
      <c r="Q16" s="7" t="s">
        <v>6</v>
      </c>
    </row>
    <row r="17" customFormat="false" ht="12.8" hidden="false" customHeight="false" outlineLevel="0" collapsed="false">
      <c r="B17" s="6"/>
      <c r="F17" s="0" t="s">
        <v>7</v>
      </c>
      <c r="G17" s="8" t="s">
        <v>8</v>
      </c>
      <c r="M17" s="7"/>
      <c r="O17" s="6" t="s">
        <v>9</v>
      </c>
      <c r="P17" s="0" t="n">
        <f aca="false">'Condenser geometry &amp; surf calc'!C20</f>
        <v>90</v>
      </c>
      <c r="Q17" s="7"/>
    </row>
    <row r="18" customFormat="false" ht="12.8" hidden="false" customHeight="false" outlineLevel="0" collapsed="false">
      <c r="B18" s="6"/>
      <c r="M18" s="7"/>
      <c r="O18" s="6" t="s">
        <v>10</v>
      </c>
      <c r="P18" s="0" t="n">
        <f aca="false">'Condenser geometry &amp; surf calc'!C22</f>
        <v>2.4384</v>
      </c>
      <c r="Q18" s="7" t="s">
        <v>11</v>
      </c>
    </row>
    <row r="19" customFormat="false" ht="12.8" hidden="false" customHeight="false" outlineLevel="0" collapsed="false">
      <c r="B19" s="6"/>
      <c r="C19" s="0" t="s">
        <v>12</v>
      </c>
      <c r="J19" s="0" t="s">
        <v>13</v>
      </c>
      <c r="K19" s="0" t="s">
        <v>14</v>
      </c>
      <c r="M19" s="7"/>
      <c r="O19" s="6" t="s">
        <v>15</v>
      </c>
      <c r="P19" s="0" t="n">
        <f aca="false">'Condenser geometry &amp; surf calc'!C11</f>
        <v>2</v>
      </c>
      <c r="Q19" s="7"/>
    </row>
    <row r="20" customFormat="false" ht="12.8" hidden="false" customHeight="false" outlineLevel="0" collapsed="false">
      <c r="B20" s="6"/>
      <c r="C20" s="8" t="n">
        <v>40</v>
      </c>
      <c r="J20" s="8" t="n">
        <v>10</v>
      </c>
      <c r="K20" s="8" t="s">
        <v>16</v>
      </c>
      <c r="M20" s="7"/>
      <c r="O20" s="6" t="s">
        <v>17</v>
      </c>
      <c r="P20" s="0" t="n">
        <f aca="false">'H calculated'!D18</f>
        <v>1529.36944143235</v>
      </c>
      <c r="Q20" s="7"/>
    </row>
    <row r="21" customFormat="false" ht="12.8" hidden="false" customHeight="false" outlineLevel="0" collapsed="false">
      <c r="B21" s="6"/>
      <c r="M21" s="7"/>
      <c r="O21" s="6"/>
      <c r="Q21" s="7"/>
    </row>
    <row r="22" customFormat="false" ht="12.8" hidden="false" customHeight="false" outlineLevel="0" collapsed="false">
      <c r="B22" s="6"/>
      <c r="M22" s="7"/>
      <c r="O22" s="6"/>
      <c r="Q22" s="7"/>
    </row>
    <row r="23" customFormat="false" ht="12.8" hidden="false" customHeight="false" outlineLevel="0" collapsed="false">
      <c r="B23" s="6" t="s">
        <v>18</v>
      </c>
      <c r="C23" s="0" t="s">
        <v>13</v>
      </c>
      <c r="J23" s="0" t="s">
        <v>12</v>
      </c>
      <c r="M23" s="7"/>
      <c r="O23" s="6"/>
      <c r="Q23" s="7"/>
    </row>
    <row r="24" customFormat="false" ht="12.8" hidden="false" customHeight="false" outlineLevel="0" collapsed="false">
      <c r="B24" s="6" t="s">
        <v>19</v>
      </c>
      <c r="C24" s="8" t="n">
        <v>100</v>
      </c>
      <c r="J24" s="8" t="n">
        <v>100</v>
      </c>
      <c r="K24" s="0" t="s">
        <v>20</v>
      </c>
      <c r="M24" s="7"/>
      <c r="O24" s="6"/>
      <c r="Q24" s="7"/>
    </row>
    <row r="25" customFormat="false" ht="12.8" hidden="false" customHeight="false" outlineLevel="0" collapsed="false">
      <c r="B25" s="6"/>
      <c r="M25" s="7"/>
      <c r="O25" s="6"/>
      <c r="Q25" s="7"/>
    </row>
    <row r="26" customFormat="false" ht="12.8" hidden="false" customHeight="false" outlineLevel="0" collapsed="false">
      <c r="B26" s="6"/>
      <c r="M26" s="7"/>
      <c r="O26" s="6"/>
      <c r="Q26" s="7"/>
    </row>
    <row r="27" customFormat="false" ht="12.8" hidden="false" customHeight="false" outlineLevel="0" collapsed="false">
      <c r="B27" s="9" t="s">
        <v>18</v>
      </c>
      <c r="C27" s="9"/>
      <c r="D27" s="9"/>
      <c r="E27" s="9"/>
      <c r="J27" s="10" t="s">
        <v>14</v>
      </c>
      <c r="K27" s="10"/>
      <c r="L27" s="10"/>
      <c r="M27" s="10"/>
      <c r="O27" s="6"/>
      <c r="Q27" s="7"/>
    </row>
    <row r="28" customFormat="false" ht="12.8" hidden="false" customHeight="false" outlineLevel="0" collapsed="false">
      <c r="B28" s="6" t="s">
        <v>21</v>
      </c>
      <c r="D28" s="11" t="s">
        <v>19</v>
      </c>
      <c r="J28" s="0" t="s">
        <v>21</v>
      </c>
      <c r="L28" s="11" t="s">
        <v>16</v>
      </c>
      <c r="M28" s="7"/>
      <c r="O28" s="6"/>
      <c r="Q28" s="7"/>
    </row>
    <row r="29" customFormat="false" ht="12.8" hidden="false" customHeight="false" outlineLevel="0" collapsed="false">
      <c r="B29" s="6" t="s">
        <v>22</v>
      </c>
      <c r="C29" s="0" t="s">
        <v>23</v>
      </c>
      <c r="D29" s="8" t="n">
        <v>100</v>
      </c>
      <c r="E29" s="0" t="s">
        <v>24</v>
      </c>
      <c r="J29" s="0" t="s">
        <v>25</v>
      </c>
      <c r="K29" s="0" t="s">
        <v>26</v>
      </c>
      <c r="L29" s="8" t="n">
        <v>10</v>
      </c>
      <c r="M29" s="7" t="s">
        <v>24</v>
      </c>
      <c r="O29" s="6"/>
      <c r="Q29" s="7"/>
    </row>
    <row r="30" customFormat="false" ht="12.8" hidden="false" customHeight="false" outlineLevel="0" collapsed="false">
      <c r="B30" s="6" t="s">
        <v>27</v>
      </c>
      <c r="D30" s="8" t="n">
        <v>0.5</v>
      </c>
      <c r="E30" s="0" t="s">
        <v>28</v>
      </c>
      <c r="J30" s="0" t="s">
        <v>29</v>
      </c>
      <c r="K30" s="0" t="s">
        <v>30</v>
      </c>
      <c r="L30" s="8" t="n">
        <v>40</v>
      </c>
      <c r="M30" s="7" t="s">
        <v>24</v>
      </c>
      <c r="O30" s="6"/>
      <c r="Q30" s="7"/>
    </row>
    <row r="31" customFormat="false" ht="12.8" hidden="false" customHeight="false" outlineLevel="0" collapsed="false">
      <c r="B31" s="6" t="s">
        <v>31</v>
      </c>
      <c r="D31" s="8" t="n">
        <v>2256.4</v>
      </c>
      <c r="E31" s="0" t="s">
        <v>32</v>
      </c>
      <c r="J31" s="0" t="s">
        <v>33</v>
      </c>
      <c r="K31" s="0" t="s">
        <v>34</v>
      </c>
      <c r="L31" s="8" t="n">
        <v>4.18</v>
      </c>
      <c r="M31" s="7" t="s">
        <v>35</v>
      </c>
      <c r="O31" s="6"/>
      <c r="Q31" s="7"/>
    </row>
    <row r="32" customFormat="false" ht="12.8" hidden="false" customHeight="false" outlineLevel="0" collapsed="false">
      <c r="B32" s="12" t="s">
        <v>36</v>
      </c>
      <c r="C32" s="13"/>
      <c r="D32" s="14" t="n">
        <v>4.18</v>
      </c>
      <c r="E32" s="13" t="s">
        <v>32</v>
      </c>
      <c r="F32" s="13"/>
      <c r="G32" s="13"/>
      <c r="H32" s="13"/>
      <c r="I32" s="13"/>
      <c r="J32" s="13" t="s">
        <v>27</v>
      </c>
      <c r="K32" s="13"/>
      <c r="L32" s="14" t="n">
        <v>9</v>
      </c>
      <c r="M32" s="15" t="s">
        <v>28</v>
      </c>
      <c r="O32" s="12"/>
      <c r="P32" s="13"/>
      <c r="Q32" s="15"/>
    </row>
    <row r="37" customFormat="false" ht="12.8" hidden="false" customHeight="false" outlineLevel="0" collapsed="false">
      <c r="B37" s="0" t="s">
        <v>37</v>
      </c>
    </row>
    <row r="39" customFormat="false" ht="13.1" hidden="false" customHeight="false" outlineLevel="0" collapsed="false">
      <c r="B39" s="16" t="s">
        <v>38</v>
      </c>
      <c r="C39" s="16"/>
      <c r="D39" s="16"/>
      <c r="E39" s="16"/>
      <c r="F39" s="16"/>
      <c r="G39" s="16"/>
      <c r="H39" s="16"/>
      <c r="I39" s="16"/>
      <c r="J39" s="16"/>
    </row>
    <row r="40" customFormat="false" ht="12.8" hidden="false" customHeight="false" outlineLevel="0" collapsed="false">
      <c r="B40" s="16"/>
      <c r="C40" s="16"/>
      <c r="D40" s="16"/>
      <c r="E40" s="16"/>
      <c r="F40" s="16"/>
      <c r="G40" s="16"/>
      <c r="H40" s="16"/>
      <c r="I40" s="16"/>
      <c r="J40" s="16"/>
    </row>
    <row r="41" customFormat="false" ht="12.8" hidden="false" customHeight="false" outlineLevel="0" collapsed="false">
      <c r="B41" s="17" t="s">
        <v>39</v>
      </c>
      <c r="C41" s="16"/>
      <c r="D41" s="16"/>
      <c r="E41" s="16"/>
      <c r="F41" s="16"/>
      <c r="G41" s="16"/>
      <c r="H41" s="16"/>
      <c r="I41" s="16"/>
      <c r="J41" s="16"/>
    </row>
    <row r="42" customFormat="false" ht="12.8" hidden="false" customHeight="false" outlineLevel="0" collapsed="false">
      <c r="B42" s="16"/>
      <c r="C42" s="16"/>
      <c r="D42" s="16"/>
      <c r="E42" s="16"/>
      <c r="F42" s="16"/>
      <c r="G42" s="16"/>
      <c r="H42" s="16"/>
      <c r="I42" s="16"/>
      <c r="J42" s="16"/>
    </row>
    <row r="43" customFormat="false" ht="24.35" hidden="false" customHeight="true" outlineLevel="0" collapsed="false">
      <c r="B43" s="18" t="s">
        <v>40</v>
      </c>
      <c r="C43" s="18"/>
      <c r="D43" s="18"/>
      <c r="E43" s="18"/>
      <c r="F43" s="18"/>
      <c r="G43" s="18"/>
      <c r="H43" s="18"/>
      <c r="I43" s="18"/>
      <c r="J43" s="18"/>
    </row>
    <row r="45" s="2" customFormat="true" ht="12.8" hidden="false" customHeight="false" outlineLevel="0" collapsed="false">
      <c r="A45" s="1" t="s">
        <v>0</v>
      </c>
    </row>
  </sheetData>
  <sheetProtection sheet="true" password="c80a" objects="true" scenarios="true"/>
  <mergeCells count="7">
    <mergeCell ref="B2:J5"/>
    <mergeCell ref="B6:J9"/>
    <mergeCell ref="B14:M14"/>
    <mergeCell ref="O14:Q14"/>
    <mergeCell ref="B27:E27"/>
    <mergeCell ref="J27:M27"/>
    <mergeCell ref="B43:J43"/>
  </mergeCells>
  <hyperlinks>
    <hyperlink ref="B39" r:id="rId1" display="If you spot a mistake or wish to suggest an improvement, please contact powder.process@protonmail.com"/>
  </hyperlinks>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&amp;C&amp;A</oddHeader>
    <oddFooter>&amp;CPage &amp;P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23"/>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D15" activeCellId="1" sqref="45:45 D15"/>
    </sheetView>
  </sheetViews>
  <sheetFormatPr defaultColWidth="11.55078125" defaultRowHeight="12.8" zeroHeight="false" outlineLevelRow="0" outlineLevelCol="0"/>
  <cols>
    <col collapsed="false" customWidth="true" hidden="false" outlineLevel="0" max="2" min="2" style="0" width="53.84"/>
    <col collapsed="false" customWidth="true" hidden="false" outlineLevel="0" max="4" min="4" style="0" width="11.45"/>
  </cols>
  <sheetData>
    <row r="1" customFormat="false" ht="12.8" hidden="false" customHeight="false" outlineLevel="0" collapsed="false">
      <c r="A1" s="19" t="s">
        <v>41</v>
      </c>
      <c r="B1" s="20"/>
      <c r="C1" s="20"/>
      <c r="D1" s="20"/>
      <c r="E1" s="20"/>
      <c r="F1" s="20"/>
      <c r="G1" s="20"/>
      <c r="H1" s="20"/>
      <c r="I1" s="20"/>
      <c r="J1" s="20"/>
      <c r="K1" s="20"/>
      <c r="L1" s="20"/>
      <c r="M1" s="20"/>
    </row>
    <row r="10" customFormat="false" ht="12.8" hidden="false" customHeight="false" outlineLevel="0" collapsed="false">
      <c r="B10" s="0" t="s">
        <v>42</v>
      </c>
      <c r="C10" s="21" t="n">
        <f aca="false">'Input data'!D31*'Input data'!D30</f>
        <v>1128.2</v>
      </c>
      <c r="D10" s="0" t="s">
        <v>43</v>
      </c>
    </row>
    <row r="11" customFormat="false" ht="12.8" hidden="false" customHeight="false" outlineLevel="0" collapsed="false">
      <c r="B11" s="0" t="s">
        <v>44</v>
      </c>
      <c r="C11" s="21" t="n">
        <f aca="false">'Input data'!L32*'Input data'!L31*('Input data'!L30-'Input data'!L29)</f>
        <v>1128.6</v>
      </c>
      <c r="D11" s="0" t="s">
        <v>43</v>
      </c>
    </row>
    <row r="12" customFormat="false" ht="12.8" hidden="false" customHeight="false" outlineLevel="0" collapsed="false">
      <c r="B12" s="0" t="s">
        <v>45</v>
      </c>
      <c r="C12" s="22" t="n">
        <f aca="false">(C10-C11)/C11</f>
        <v>-0.000354421407052865</v>
      </c>
      <c r="D12" s="0" t="str">
        <f aca="false">IF(C12&lt;0.01,"Ok","Not Ok")</f>
        <v>Ok</v>
      </c>
    </row>
    <row r="13" customFormat="false" ht="12.8" hidden="false" customHeight="false" outlineLevel="0" collapsed="false">
      <c r="B13" s="0" t="s">
        <v>46</v>
      </c>
    </row>
    <row r="15" customFormat="false" ht="12.8" hidden="false" customHeight="false" outlineLevel="0" collapsed="false">
      <c r="B15" s="0" t="s">
        <v>47</v>
      </c>
      <c r="C15" s="0" t="s">
        <v>48</v>
      </c>
      <c r="D15" s="23" t="n">
        <v>1.3</v>
      </c>
      <c r="E15" s="0" t="s">
        <v>49</v>
      </c>
    </row>
    <row r="16" customFormat="false" ht="12.8" hidden="false" customHeight="false" outlineLevel="0" collapsed="false">
      <c r="B16" s="0" t="s">
        <v>50</v>
      </c>
      <c r="D16" s="21" t="n">
        <f aca="false">'Input data'!C24</f>
        <v>100</v>
      </c>
    </row>
    <row r="17" customFormat="false" ht="12.8" hidden="false" customHeight="false" outlineLevel="0" collapsed="false">
      <c r="B17" s="0" t="s">
        <v>51</v>
      </c>
      <c r="D17" s="21" t="n">
        <f aca="false">'Input data'!J20</f>
        <v>10</v>
      </c>
    </row>
    <row r="18" customFormat="false" ht="12.8" hidden="false" customHeight="false" outlineLevel="0" collapsed="false">
      <c r="B18" s="0" t="s">
        <v>52</v>
      </c>
      <c r="D18" s="21" t="n">
        <f aca="false">'Input data'!J24</f>
        <v>100</v>
      </c>
    </row>
    <row r="19" customFormat="false" ht="12.8" hidden="false" customHeight="false" outlineLevel="0" collapsed="false">
      <c r="B19" s="0" t="s">
        <v>53</v>
      </c>
      <c r="D19" s="21" t="n">
        <f aca="false">'Input data'!C20</f>
        <v>40</v>
      </c>
    </row>
    <row r="20" customFormat="false" ht="12.8" hidden="false" customHeight="false" outlineLevel="0" collapsed="false">
      <c r="B20" s="0" t="s">
        <v>54</v>
      </c>
      <c r="D20" s="21" t="n">
        <f aca="false">D18-D17</f>
        <v>90</v>
      </c>
    </row>
    <row r="21" customFormat="false" ht="12.8" hidden="false" customHeight="false" outlineLevel="0" collapsed="false">
      <c r="B21" s="0" t="s">
        <v>55</v>
      </c>
      <c r="D21" s="21" t="n">
        <f aca="false">D18-D19</f>
        <v>60</v>
      </c>
    </row>
    <row r="22" customFormat="false" ht="12.8" hidden="false" customHeight="false" outlineLevel="0" collapsed="false">
      <c r="B22" s="0" t="s">
        <v>56</v>
      </c>
      <c r="D22" s="24" t="n">
        <f aca="false">(D21-D20)/LN(D21/D20)</f>
        <v>73.9891038712929</v>
      </c>
    </row>
    <row r="23" customFormat="false" ht="12.8" hidden="false" customHeight="false" outlineLevel="0" collapsed="false">
      <c r="B23" s="0" t="s">
        <v>57</v>
      </c>
      <c r="C23" s="0" t="s">
        <v>58</v>
      </c>
      <c r="D23" s="24" t="n">
        <f aca="false">C11/(D22*D15)</f>
        <v>11.7335364361763</v>
      </c>
      <c r="E23" s="0" t="s">
        <v>6</v>
      </c>
    </row>
  </sheetData>
  <sheetProtection sheet="true" objects="true" scenarios="true" selectLockedCells="true"/>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30"/>
  <sheetViews>
    <sheetView showFormulas="false" showGridLines="true" showRowColHeaders="true" showZeros="true" rightToLeft="false" tabSelected="false" showOutlineSymbols="true" defaultGridColor="true" view="normal" topLeftCell="A7" colorId="64" zoomScale="80" zoomScaleNormal="80" zoomScalePageLayoutView="100" workbookViewId="0">
      <selection pane="topLeft" activeCell="C23" activeCellId="1" sqref="45:45 C23"/>
    </sheetView>
  </sheetViews>
  <sheetFormatPr defaultColWidth="11.55078125" defaultRowHeight="12.8" zeroHeight="false" outlineLevelRow="0" outlineLevelCol="0"/>
  <cols>
    <col collapsed="false" customWidth="true" hidden="false" outlineLevel="0" max="2" min="2" style="0" width="39.94"/>
  </cols>
  <sheetData>
    <row r="1" customFormat="false" ht="12.8" hidden="false" customHeight="false" outlineLevel="0" collapsed="false">
      <c r="A1" s="19" t="s">
        <v>41</v>
      </c>
      <c r="B1" s="20"/>
      <c r="C1" s="20"/>
      <c r="D1" s="20"/>
      <c r="E1" s="20"/>
      <c r="F1" s="20"/>
      <c r="G1" s="20"/>
      <c r="H1" s="20"/>
      <c r="I1" s="20"/>
      <c r="J1" s="20"/>
      <c r="K1" s="20"/>
      <c r="L1" s="20"/>
      <c r="M1" s="20"/>
    </row>
    <row r="8" customFormat="false" ht="12.8" hidden="false" customHeight="false" outlineLevel="0" collapsed="false">
      <c r="B8" s="25" t="s">
        <v>59</v>
      </c>
    </row>
    <row r="9" customFormat="false" ht="12.8" hidden="false" customHeight="false" outlineLevel="0" collapsed="false">
      <c r="B9" s="25" t="s">
        <v>60</v>
      </c>
    </row>
    <row r="11" customFormat="false" ht="12.8" hidden="false" customHeight="false" outlineLevel="0" collapsed="false">
      <c r="B11" s="0" t="s">
        <v>61</v>
      </c>
      <c r="C11" s="8" t="n">
        <v>2</v>
      </c>
    </row>
    <row r="12" customFormat="false" ht="12.8" hidden="false" customHeight="false" outlineLevel="0" collapsed="false">
      <c r="B12" s="0" t="s">
        <v>62</v>
      </c>
      <c r="C12" s="8" t="s">
        <v>58</v>
      </c>
    </row>
    <row r="13" customFormat="false" ht="12.8" hidden="false" customHeight="false" outlineLevel="0" collapsed="false">
      <c r="B13" s="0" t="s">
        <v>63</v>
      </c>
      <c r="C13" s="8" t="n">
        <v>387</v>
      </c>
      <c r="D13" s="0" t="s">
        <v>64</v>
      </c>
    </row>
    <row r="14" customFormat="false" ht="12.8" hidden="false" customHeight="false" outlineLevel="0" collapsed="false">
      <c r="B14" s="0" t="s">
        <v>65</v>
      </c>
      <c r="C14" s="8" t="n">
        <v>0.75</v>
      </c>
      <c r="D14" s="0" t="s">
        <v>66</v>
      </c>
    </row>
    <row r="15" customFormat="false" ht="12.8" hidden="false" customHeight="false" outlineLevel="0" collapsed="false">
      <c r="C15" s="21" t="n">
        <f aca="false">C14*0.0254</f>
        <v>0.01905</v>
      </c>
      <c r="D15" s="0" t="s">
        <v>11</v>
      </c>
    </row>
    <row r="16" customFormat="false" ht="12.8" hidden="false" customHeight="false" outlineLevel="0" collapsed="false">
      <c r="B16" s="0" t="s">
        <v>67</v>
      </c>
      <c r="C16" s="8" t="n">
        <f aca="false">C15-(2.1*2)/1000</f>
        <v>0.01485</v>
      </c>
      <c r="D16" s="0" t="s">
        <v>11</v>
      </c>
    </row>
    <row r="17" customFormat="false" ht="12.8" hidden="false" customHeight="false" outlineLevel="0" collapsed="false">
      <c r="B17" s="0" t="s">
        <v>68</v>
      </c>
      <c r="C17" s="8" t="s">
        <v>69</v>
      </c>
    </row>
    <row r="18" customFormat="false" ht="12.8" hidden="false" customHeight="false" outlineLevel="0" collapsed="false">
      <c r="B18" s="0" t="s">
        <v>70</v>
      </c>
      <c r="C18" s="8" t="n">
        <v>1</v>
      </c>
      <c r="D18" s="0" t="s">
        <v>66</v>
      </c>
    </row>
    <row r="19" customFormat="false" ht="12.8" hidden="false" customHeight="false" outlineLevel="0" collapsed="false">
      <c r="C19" s="21" t="n">
        <f aca="false">C18*0.0254</f>
        <v>0.0254</v>
      </c>
      <c r="D19" s="0" t="s">
        <v>11</v>
      </c>
    </row>
    <row r="20" customFormat="false" ht="12.8" hidden="false" customHeight="false" outlineLevel="0" collapsed="false">
      <c r="B20" s="0" t="s">
        <v>71</v>
      </c>
      <c r="C20" s="8" t="n">
        <v>90</v>
      </c>
    </row>
    <row r="21" customFormat="false" ht="12.8" hidden="false" customHeight="false" outlineLevel="0" collapsed="false">
      <c r="B21" s="0" t="s">
        <v>10</v>
      </c>
      <c r="C21" s="8" t="n">
        <v>8</v>
      </c>
      <c r="D21" s="0" t="s">
        <v>72</v>
      </c>
    </row>
    <row r="22" customFormat="false" ht="12.8" hidden="false" customHeight="false" outlineLevel="0" collapsed="false">
      <c r="C22" s="21" t="n">
        <f aca="false">C21*0.3048</f>
        <v>2.4384</v>
      </c>
      <c r="D22" s="0" t="s">
        <v>11</v>
      </c>
    </row>
    <row r="23" customFormat="false" ht="12.8" hidden="false" customHeight="false" outlineLevel="0" collapsed="false">
      <c r="B23" s="0" t="s">
        <v>73</v>
      </c>
      <c r="C23" s="8" t="s">
        <v>74</v>
      </c>
    </row>
    <row r="24" customFormat="false" ht="12.8" hidden="false" customHeight="false" outlineLevel="0" collapsed="false">
      <c r="B24" s="0" t="s">
        <v>75</v>
      </c>
      <c r="C24" s="8" t="n">
        <v>66</v>
      </c>
    </row>
    <row r="26" customFormat="false" ht="12.8" hidden="false" customHeight="false" outlineLevel="0" collapsed="false">
      <c r="B26" s="0" t="s">
        <v>5</v>
      </c>
      <c r="C26" s="21" t="n">
        <f aca="false">PI()*C15*C22*C20</f>
        <v>13.1338578582071</v>
      </c>
      <c r="D26" s="0" t="s">
        <v>6</v>
      </c>
    </row>
    <row r="28" customFormat="false" ht="12.8" hidden="false" customHeight="false" outlineLevel="0" collapsed="false">
      <c r="B28" s="0" t="s">
        <v>76</v>
      </c>
      <c r="C28" s="21" t="n">
        <f aca="false">'Surface requirements'!D23</f>
        <v>11.7335364361763</v>
      </c>
      <c r="D28" s="0" t="s">
        <v>6</v>
      </c>
    </row>
    <row r="30" customFormat="false" ht="12.8" hidden="false" customHeight="false" outlineLevel="0" collapsed="false">
      <c r="B30" s="0" t="s">
        <v>77</v>
      </c>
      <c r="C30" s="21" t="str">
        <f aca="false">IF(C26&gt;C28,"Ok","Not Ok")</f>
        <v>Ok</v>
      </c>
    </row>
  </sheetData>
  <sheetProtection sheet="true" password="c80a" objects="true" scenarios="true" selectLockedCells="true"/>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15"/>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A1" activeCellId="1" sqref="45:45 A1"/>
    </sheetView>
  </sheetViews>
  <sheetFormatPr defaultColWidth="11.55078125" defaultRowHeight="12.8" zeroHeight="false" outlineLevelRow="0" outlineLevelCol="0"/>
  <sheetData>
    <row r="1" customFormat="false" ht="12.8" hidden="false" customHeight="false" outlineLevel="0" collapsed="false">
      <c r="A1" s="19" t="s">
        <v>41</v>
      </c>
      <c r="B1" s="20"/>
      <c r="C1" s="20"/>
      <c r="D1" s="20"/>
      <c r="E1" s="20"/>
      <c r="F1" s="20"/>
      <c r="G1" s="20"/>
      <c r="H1" s="20"/>
      <c r="I1" s="20"/>
      <c r="J1" s="20"/>
      <c r="K1" s="20"/>
      <c r="L1" s="20"/>
      <c r="M1" s="20"/>
    </row>
    <row r="9" customFormat="false" ht="12.8" hidden="false" customHeight="false" outlineLevel="0" collapsed="false">
      <c r="B9" s="0" t="s">
        <v>78</v>
      </c>
    </row>
    <row r="10" customFormat="false" ht="12.8" hidden="false" customHeight="false" outlineLevel="0" collapsed="false">
      <c r="B10" s="0" t="s">
        <v>23</v>
      </c>
      <c r="C10" s="21" t="n">
        <f aca="false">'Input data'!D29</f>
        <v>100</v>
      </c>
      <c r="D10" s="0" t="s">
        <v>24</v>
      </c>
    </row>
    <row r="11" customFormat="false" ht="12.8" hidden="false" customHeight="false" outlineLevel="0" collapsed="false">
      <c r="B11" s="0" t="s">
        <v>79</v>
      </c>
      <c r="C11" s="21" t="n">
        <f aca="false">('Input data'!J20+'Input data'!C20)/2</f>
        <v>25</v>
      </c>
      <c r="D11" s="0" t="s">
        <v>24</v>
      </c>
    </row>
    <row r="12" customFormat="false" ht="12.8" hidden="false" customHeight="false" outlineLevel="0" collapsed="false">
      <c r="B12" s="0" t="s">
        <v>80</v>
      </c>
      <c r="C12" s="21" t="n">
        <f aca="false">'Condenser geometry &amp; surf calc'!C15</f>
        <v>0.01905</v>
      </c>
      <c r="D12" s="0" t="s">
        <v>11</v>
      </c>
    </row>
    <row r="13" customFormat="false" ht="12.8" hidden="false" customHeight="false" outlineLevel="0" collapsed="false">
      <c r="B13" s="0" t="s">
        <v>81</v>
      </c>
      <c r="C13" s="21" t="n">
        <f aca="false">'Condenser geometry &amp; surf calc'!C16</f>
        <v>0.01485</v>
      </c>
      <c r="D13" s="0" t="s">
        <v>11</v>
      </c>
    </row>
    <row r="14" customFormat="false" ht="12.8" hidden="false" customHeight="false" outlineLevel="0" collapsed="false">
      <c r="B14" s="0" t="s">
        <v>82</v>
      </c>
      <c r="C14" s="21" t="n">
        <f aca="false">C10-((C13/C12)/((C13/C12)+1))*(C10-C11)</f>
        <v>67.1460176991151</v>
      </c>
      <c r="D14" s="0" t="s">
        <v>24</v>
      </c>
    </row>
    <row r="15" customFormat="false" ht="12.8" hidden="false" customHeight="false" outlineLevel="0" collapsed="false">
      <c r="B15" s="0" t="s">
        <v>83</v>
      </c>
      <c r="C15" s="21" t="n">
        <f aca="false">(C10+C14)/2</f>
        <v>83.5730088495575</v>
      </c>
      <c r="D15" s="0" t="s">
        <v>24</v>
      </c>
    </row>
  </sheetData>
  <sheetProtection sheet="true" password="c80a" objects="true" scenarios="true"/>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37"/>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C15" activeCellId="1" sqref="45:45 C15"/>
    </sheetView>
  </sheetViews>
  <sheetFormatPr defaultColWidth="11.55078125" defaultRowHeight="12.8" zeroHeight="false" outlineLevelRow="0" outlineLevelCol="0"/>
  <cols>
    <col collapsed="false" customWidth="true" hidden="false" outlineLevel="0" max="2" min="2" style="0" width="28.28"/>
  </cols>
  <sheetData>
    <row r="1" customFormat="false" ht="12.8" hidden="false" customHeight="false" outlineLevel="0" collapsed="false">
      <c r="A1" s="19" t="s">
        <v>41</v>
      </c>
      <c r="B1" s="20"/>
      <c r="C1" s="20"/>
      <c r="D1" s="20"/>
      <c r="E1" s="20"/>
      <c r="F1" s="20"/>
      <c r="G1" s="20"/>
      <c r="H1" s="20"/>
      <c r="I1" s="20"/>
      <c r="J1" s="20"/>
      <c r="K1" s="20"/>
      <c r="L1" s="20"/>
      <c r="M1" s="20"/>
    </row>
    <row r="5" customFormat="false" ht="12.8" hidden="false" customHeight="false" outlineLevel="0" collapsed="false">
      <c r="B5" s="0" t="s">
        <v>14</v>
      </c>
    </row>
    <row r="6" customFormat="false" ht="12.8" hidden="false" customHeight="false" outlineLevel="0" collapsed="false">
      <c r="B6" s="0" t="s">
        <v>13</v>
      </c>
      <c r="C6" s="21" t="n">
        <f aca="false">'Input data'!J20</f>
        <v>10</v>
      </c>
    </row>
    <row r="7" customFormat="false" ht="12.8" hidden="false" customHeight="false" outlineLevel="0" collapsed="false">
      <c r="B7" s="0" t="s">
        <v>12</v>
      </c>
      <c r="C7" s="21" t="n">
        <f aca="false">'Input data'!C20</f>
        <v>40</v>
      </c>
    </row>
    <row r="8" customFormat="false" ht="12.8" hidden="false" customHeight="false" outlineLevel="0" collapsed="false">
      <c r="B8" s="0" t="s">
        <v>79</v>
      </c>
      <c r="C8" s="21" t="n">
        <f aca="false">(C6+C7)/2</f>
        <v>25</v>
      </c>
    </row>
    <row r="9" customFormat="false" ht="13.05" hidden="false" customHeight="false" outlineLevel="0" collapsed="false">
      <c r="B9" s="0" t="s">
        <v>82</v>
      </c>
      <c r="C9" s="8" t="n">
        <v>62.5</v>
      </c>
      <c r="D9" s="0" t="s">
        <v>24</v>
      </c>
      <c r="E9" s="0" t="s">
        <v>84</v>
      </c>
    </row>
    <row r="10" customFormat="false" ht="12.8" hidden="false" customHeight="false" outlineLevel="0" collapsed="false">
      <c r="B10" s="0" t="s">
        <v>27</v>
      </c>
      <c r="C10" s="21" t="n">
        <f aca="false">'Input data'!L32</f>
        <v>9</v>
      </c>
      <c r="D10" s="0" t="s">
        <v>28</v>
      </c>
    </row>
    <row r="11" customFormat="false" ht="12.8" hidden="false" customHeight="false" outlineLevel="0" collapsed="false">
      <c r="B11" s="0" t="s">
        <v>85</v>
      </c>
      <c r="C11" s="8" t="n">
        <f aca="false">0.14395/(0.0112^(1+(1-(C8+273.15)/649.27)^0.05107))</f>
        <v>998.813802027555</v>
      </c>
      <c r="D11" s="0" t="s">
        <v>86</v>
      </c>
      <c r="E11" s="0" t="s">
        <v>87</v>
      </c>
    </row>
    <row r="12" customFormat="false" ht="12.8" hidden="false" customHeight="false" outlineLevel="0" collapsed="false">
      <c r="B12" s="0" t="s">
        <v>88</v>
      </c>
      <c r="C12" s="8" t="n">
        <f aca="false">EXP(-3.7188+578.919/(-137.546+C8+273.15))/1000</f>
        <v>0.000892111858965365</v>
      </c>
      <c r="D12" s="0" t="s">
        <v>89</v>
      </c>
      <c r="E12" s="0" t="s">
        <v>87</v>
      </c>
    </row>
    <row r="13" customFormat="false" ht="12.8" hidden="false" customHeight="false" outlineLevel="0" collapsed="false">
      <c r="B13" s="0" t="s">
        <v>90</v>
      </c>
      <c r="C13" s="8" t="n">
        <f aca="false">EXP(-3.7188+578.919/(-137.546+C9+273.15))/1000</f>
        <v>0.000450903644314875</v>
      </c>
      <c r="D13" s="0" t="s">
        <v>89</v>
      </c>
      <c r="E13" s="0" t="s">
        <v>87</v>
      </c>
    </row>
    <row r="14" customFormat="false" ht="12.8" hidden="false" customHeight="false" outlineLevel="0" collapsed="false">
      <c r="B14" s="0" t="s">
        <v>33</v>
      </c>
      <c r="C14" s="8" t="n">
        <f aca="false">'Input data'!L31</f>
        <v>4.18</v>
      </c>
      <c r="D14" s="0" t="s">
        <v>35</v>
      </c>
      <c r="E14" s="0" t="s">
        <v>87</v>
      </c>
    </row>
    <row r="15" customFormat="false" ht="12.8" hidden="false" customHeight="false" outlineLevel="0" collapsed="false">
      <c r="B15" s="0" t="s">
        <v>91</v>
      </c>
      <c r="C15" s="8" t="n">
        <f aca="false">-0.432+0.0057255*(C8+273.15)-0.000008078*(C8+273.15)^2+0.000000001861*(C8+273.15)^3</f>
        <v>0.606299909107096</v>
      </c>
      <c r="D15" s="0" t="s">
        <v>92</v>
      </c>
      <c r="E15" s="0" t="s">
        <v>87</v>
      </c>
    </row>
    <row r="17" customFormat="false" ht="12.8" hidden="false" customHeight="false" outlineLevel="0" collapsed="false">
      <c r="B17" s="0" t="s">
        <v>93</v>
      </c>
      <c r="D17" s="0" t="s">
        <v>11</v>
      </c>
    </row>
    <row r="18" customFormat="false" ht="12.8" hidden="false" customHeight="false" outlineLevel="0" collapsed="false">
      <c r="B18" s="0" t="s">
        <v>81</v>
      </c>
      <c r="C18" s="21" t="n">
        <f aca="false">'Condenser geometry &amp; surf calc'!C16</f>
        <v>0.01485</v>
      </c>
    </row>
    <row r="19" customFormat="false" ht="12.8" hidden="false" customHeight="false" outlineLevel="0" collapsed="false">
      <c r="B19" s="0" t="s">
        <v>10</v>
      </c>
      <c r="C19" s="21" t="n">
        <f aca="false">'Condenser geometry &amp; surf calc'!C22</f>
        <v>2.4384</v>
      </c>
      <c r="D19" s="0" t="s">
        <v>11</v>
      </c>
    </row>
    <row r="20" customFormat="false" ht="12.8" hidden="false" customHeight="false" outlineLevel="0" collapsed="false">
      <c r="B20" s="0" t="s">
        <v>94</v>
      </c>
      <c r="C20" s="21" t="n">
        <f aca="false">PI()*C18^2/4</f>
        <v>0.000173197966487814</v>
      </c>
      <c r="D20" s="0" t="s">
        <v>6</v>
      </c>
    </row>
    <row r="21" customFormat="false" ht="12.8" hidden="false" customHeight="false" outlineLevel="0" collapsed="false">
      <c r="B21" s="0" t="s">
        <v>9</v>
      </c>
      <c r="C21" s="21" t="n">
        <f aca="false">'Condenser geometry &amp; surf calc'!C20</f>
        <v>90</v>
      </c>
    </row>
    <row r="22" customFormat="false" ht="12.8" hidden="false" customHeight="false" outlineLevel="0" collapsed="false">
      <c r="B22" s="0" t="s">
        <v>95</v>
      </c>
      <c r="C22" s="21" t="n">
        <f aca="false">'Condenser geometry &amp; surf calc'!C11</f>
        <v>2</v>
      </c>
    </row>
    <row r="23" customFormat="false" ht="12.8" hidden="false" customHeight="false" outlineLevel="0" collapsed="false">
      <c r="B23" s="0" t="s">
        <v>96</v>
      </c>
      <c r="C23" s="21" t="n">
        <f aca="false">C21*C20</f>
        <v>0.0155878169839032</v>
      </c>
      <c r="D23" s="0" t="s">
        <v>6</v>
      </c>
    </row>
    <row r="24" customFormat="false" ht="12.8" hidden="false" customHeight="false" outlineLevel="0" collapsed="false">
      <c r="B24" s="0" t="s">
        <v>97</v>
      </c>
      <c r="C24" s="21" t="n">
        <f aca="false">((C10/C11)/(C21/C22))/C20</f>
        <v>1.15611935522298</v>
      </c>
      <c r="D24" s="0" t="s">
        <v>98</v>
      </c>
    </row>
    <row r="26" customFormat="false" ht="12.8" hidden="false" customHeight="false" outlineLevel="0" collapsed="false">
      <c r="B26" s="0" t="s">
        <v>99</v>
      </c>
      <c r="C26" s="21" t="n">
        <f aca="false">C18*C24*C11/C12</f>
        <v>19221.8130094</v>
      </c>
    </row>
    <row r="27" customFormat="false" ht="12.8" hidden="false" customHeight="false" outlineLevel="0" collapsed="false">
      <c r="B27" s="0" t="s">
        <v>100</v>
      </c>
      <c r="C27" s="21" t="n">
        <f aca="false">C14*1000*C12/C15</f>
        <v>6.1504669792331</v>
      </c>
    </row>
    <row r="29" customFormat="false" ht="12.8" hidden="false" customHeight="false" outlineLevel="0" collapsed="false">
      <c r="B29" s="0" t="s">
        <v>101</v>
      </c>
    </row>
    <row r="30" customFormat="false" ht="12.8" hidden="false" customHeight="false" outlineLevel="0" collapsed="false">
      <c r="B30" s="0" t="s">
        <v>102</v>
      </c>
      <c r="C30" s="21" t="n">
        <f aca="false">1.86*C26^(1/3)*C27^(1/3)*(C18/C19)^(1/3)*(C12/C13)^0.14</f>
        <v>18.3417697811752</v>
      </c>
    </row>
    <row r="31" customFormat="false" ht="12.8" hidden="false" customHeight="false" outlineLevel="0" collapsed="false">
      <c r="B31" s="0" t="s">
        <v>103</v>
      </c>
      <c r="C31" s="21" t="n">
        <f aca="false">C30*C15/C18</f>
        <v>748.862851931972</v>
      </c>
      <c r="D31" s="0" t="s">
        <v>104</v>
      </c>
    </row>
    <row r="33" customFormat="false" ht="12.8" hidden="false" customHeight="false" outlineLevel="0" collapsed="false">
      <c r="B33" s="0" t="s">
        <v>105</v>
      </c>
    </row>
    <row r="34" customFormat="false" ht="12.8" hidden="false" customHeight="false" outlineLevel="0" collapsed="false">
      <c r="B34" s="0" t="s">
        <v>102</v>
      </c>
      <c r="C34" s="21" t="n">
        <f aca="false">0.027*C26^(0.8)*C27^(1/3)*(C12/C13)^0.14</f>
        <v>145.497518297862</v>
      </c>
    </row>
    <row r="35" customFormat="false" ht="12.8" hidden="false" customHeight="false" outlineLevel="0" collapsed="false">
      <c r="B35" s="0" t="s">
        <v>103</v>
      </c>
      <c r="C35" s="21" t="n">
        <f aca="false">C34*C15/C18</f>
        <v>5940.41293732671</v>
      </c>
      <c r="D35" s="0" t="s">
        <v>104</v>
      </c>
    </row>
    <row r="37" customFormat="false" ht="12.8" hidden="false" customHeight="false" outlineLevel="0" collapsed="false">
      <c r="B37" s="0" t="s">
        <v>103</v>
      </c>
      <c r="C37" s="21" t="n">
        <f aca="false">IF(C26&lt;2100,C31,IF(C26&gt;10000,C35,(C31+C35)/2))</f>
        <v>5940.41293732671</v>
      </c>
    </row>
  </sheetData>
  <sheetProtection sheet="true" password="c80a" objects="true" scenarios="true" selectLockedCells="true"/>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33"/>
  <sheetViews>
    <sheetView showFormulas="false" showGridLines="true" showRowColHeaders="true" showZeros="true" rightToLeft="false" tabSelected="false" showOutlineSymbols="true" defaultGridColor="true" view="normal" topLeftCell="A4" colorId="64" zoomScale="80" zoomScaleNormal="80" zoomScalePageLayoutView="100" workbookViewId="0">
      <selection pane="topLeft" activeCell="G16" activeCellId="1" sqref="45:45 G16"/>
    </sheetView>
  </sheetViews>
  <sheetFormatPr defaultColWidth="11.55078125" defaultRowHeight="12.8" zeroHeight="false" outlineLevelRow="0" outlineLevelCol="0"/>
  <cols>
    <col collapsed="false" customWidth="true" hidden="false" outlineLevel="0" max="2" min="2" style="0" width="29.84"/>
    <col collapsed="false" customWidth="true" hidden="false" outlineLevel="0" max="6" min="6" style="0" width="47.21"/>
  </cols>
  <sheetData>
    <row r="1" customFormat="false" ht="12.8" hidden="false" customHeight="false" outlineLevel="0" collapsed="false">
      <c r="A1" s="19" t="s">
        <v>41</v>
      </c>
      <c r="B1" s="20"/>
      <c r="C1" s="20"/>
      <c r="D1" s="20"/>
      <c r="E1" s="20"/>
      <c r="F1" s="20"/>
      <c r="G1" s="20"/>
      <c r="H1" s="20"/>
      <c r="I1" s="20"/>
      <c r="J1" s="20"/>
      <c r="K1" s="20"/>
      <c r="L1" s="20"/>
      <c r="M1" s="20"/>
    </row>
    <row r="5" customFormat="false" ht="12.8" hidden="false" customHeight="false" outlineLevel="0" collapsed="false">
      <c r="B5" s="0" t="s">
        <v>106</v>
      </c>
      <c r="C5" s="21" t="str">
        <f aca="false">'Input data'!G17</f>
        <v>Horizontal</v>
      </c>
    </row>
    <row r="6" customFormat="false" ht="12.8" hidden="false" customHeight="false" outlineLevel="0" collapsed="false">
      <c r="B6" s="0" t="s">
        <v>107</v>
      </c>
      <c r="C6" s="21" t="n">
        <f aca="false">IF(C5="Vertical",G33,C30)</f>
        <v>4619.20952655872</v>
      </c>
    </row>
    <row r="7" customFormat="false" ht="13.05" hidden="false" customHeight="false" outlineLevel="0" collapsed="false">
      <c r="B7" s="0" t="s">
        <v>83</v>
      </c>
      <c r="C7" s="8" t="n">
        <v>81.3</v>
      </c>
      <c r="D7" s="0" t="s">
        <v>108</v>
      </c>
    </row>
    <row r="10" customFormat="false" ht="12.8" hidden="false" customHeight="false" outlineLevel="0" collapsed="false">
      <c r="B10" s="0" t="s">
        <v>109</v>
      </c>
      <c r="F10" s="0" t="s">
        <v>110</v>
      </c>
    </row>
    <row r="12" customFormat="false" ht="12.8" hidden="false" customHeight="false" outlineLevel="0" collapsed="false">
      <c r="B12" s="0" t="s">
        <v>18</v>
      </c>
      <c r="F12" s="0" t="s">
        <v>18</v>
      </c>
    </row>
    <row r="13" customFormat="false" ht="12.8" hidden="false" customHeight="false" outlineLevel="0" collapsed="false">
      <c r="B13" s="0" t="s">
        <v>23</v>
      </c>
      <c r="C13" s="21" t="n">
        <f aca="false">'Input data'!D29</f>
        <v>100</v>
      </c>
      <c r="F13" s="0" t="s">
        <v>23</v>
      </c>
      <c r="G13" s="21" t="n">
        <f aca="false">C13</f>
        <v>100</v>
      </c>
    </row>
    <row r="14" customFormat="false" ht="12.8" hidden="false" customHeight="false" outlineLevel="0" collapsed="false">
      <c r="B14" s="0" t="s">
        <v>83</v>
      </c>
      <c r="C14" s="21" t="n">
        <f aca="false">C7</f>
        <v>81.3</v>
      </c>
      <c r="D14" s="0" t="s">
        <v>24</v>
      </c>
      <c r="F14" s="0" t="s">
        <v>83</v>
      </c>
      <c r="G14" s="21" t="n">
        <f aca="false">C14</f>
        <v>81.3</v>
      </c>
      <c r="H14" s="0" t="s">
        <v>24</v>
      </c>
    </row>
    <row r="15" customFormat="false" ht="12.8" hidden="false" customHeight="false" outlineLevel="0" collapsed="false">
      <c r="B15" s="0" t="s">
        <v>27</v>
      </c>
      <c r="C15" s="21" t="n">
        <f aca="false">'Input data'!D30</f>
        <v>0.5</v>
      </c>
      <c r="D15" s="0" t="s">
        <v>28</v>
      </c>
      <c r="F15" s="0" t="s">
        <v>27</v>
      </c>
      <c r="G15" s="21" t="n">
        <f aca="false">C15</f>
        <v>0.5</v>
      </c>
      <c r="H15" s="0" t="s">
        <v>28</v>
      </c>
    </row>
    <row r="16" customFormat="false" ht="12.8" hidden="false" customHeight="false" outlineLevel="0" collapsed="false">
      <c r="B16" s="0" t="s">
        <v>111</v>
      </c>
      <c r="C16" s="8" t="n">
        <f aca="false">0.14395/(0.0112^(1+(1-(C14+273.15)/649.27)^0.05107))</f>
        <v>960.918812261033</v>
      </c>
      <c r="D16" s="0" t="s">
        <v>86</v>
      </c>
      <c r="F16" s="0" t="s">
        <v>111</v>
      </c>
      <c r="G16" s="8" t="n">
        <f aca="false">C16</f>
        <v>960.918812261033</v>
      </c>
      <c r="H16" s="0" t="s">
        <v>86</v>
      </c>
    </row>
    <row r="17" customFormat="false" ht="12.8" hidden="false" customHeight="false" outlineLevel="0" collapsed="false">
      <c r="B17" s="0" t="s">
        <v>112</v>
      </c>
      <c r="C17" s="8" t="n">
        <f aca="false">EXP(-3.7188+578.919/(-137.546+C13+273.15))/1000</f>
        <v>0.000283191950076125</v>
      </c>
      <c r="D17" s="0" t="s">
        <v>89</v>
      </c>
      <c r="F17" s="0" t="s">
        <v>112</v>
      </c>
      <c r="G17" s="8" t="n">
        <v>0.001</v>
      </c>
      <c r="H17" s="0" t="s">
        <v>89</v>
      </c>
    </row>
    <row r="18" customFormat="false" ht="12.8" hidden="false" customHeight="false" outlineLevel="0" collapsed="false">
      <c r="B18" s="0" t="s">
        <v>113</v>
      </c>
      <c r="C18" s="8" t="n">
        <f aca="false">EXP(-3.7188+578.919/(-137.546+C14+273.15))/1000</f>
        <v>0.000350011332442391</v>
      </c>
      <c r="D18" s="0" t="s">
        <v>89</v>
      </c>
      <c r="F18" s="0" t="s">
        <v>113</v>
      </c>
      <c r="G18" s="8" t="n">
        <v>0.0009</v>
      </c>
      <c r="H18" s="0" t="s">
        <v>89</v>
      </c>
    </row>
    <row r="19" customFormat="false" ht="12.8" hidden="false" customHeight="false" outlineLevel="0" collapsed="false">
      <c r="B19" s="0" t="s">
        <v>33</v>
      </c>
      <c r="C19" s="8" t="n">
        <f aca="false">'Input data'!D32</f>
        <v>4.18</v>
      </c>
      <c r="D19" s="0" t="s">
        <v>35</v>
      </c>
      <c r="F19" s="0" t="s">
        <v>33</v>
      </c>
      <c r="G19" s="8" t="n">
        <f aca="false">C19</f>
        <v>4.18</v>
      </c>
      <c r="H19" s="0" t="s">
        <v>35</v>
      </c>
    </row>
    <row r="20" customFormat="false" ht="12.8" hidden="false" customHeight="false" outlineLevel="0" collapsed="false">
      <c r="B20" s="0" t="s">
        <v>114</v>
      </c>
      <c r="C20" s="8" t="n">
        <v>0.62</v>
      </c>
      <c r="D20" s="0" t="s">
        <v>92</v>
      </c>
      <c r="F20" s="0" t="s">
        <v>114</v>
      </c>
      <c r="G20" s="8" t="n">
        <v>0.62</v>
      </c>
      <c r="H20" s="0" t="s">
        <v>92</v>
      </c>
    </row>
    <row r="22" customFormat="false" ht="12.8" hidden="false" customHeight="false" outlineLevel="0" collapsed="false">
      <c r="B22" s="0" t="s">
        <v>93</v>
      </c>
      <c r="F22" s="0" t="s">
        <v>93</v>
      </c>
    </row>
    <row r="23" customFormat="false" ht="12.8" hidden="false" customHeight="false" outlineLevel="0" collapsed="false">
      <c r="B23" s="0" t="s">
        <v>80</v>
      </c>
      <c r="C23" s="21" t="n">
        <f aca="false">'Condenser geometry &amp; surf calc'!C15</f>
        <v>0.01905</v>
      </c>
      <c r="F23" s="0" t="s">
        <v>80</v>
      </c>
      <c r="G23" s="21" t="n">
        <f aca="false">C23</f>
        <v>0.01905</v>
      </c>
    </row>
    <row r="24" customFormat="false" ht="12.8" hidden="false" customHeight="false" outlineLevel="0" collapsed="false">
      <c r="B24" s="0" t="s">
        <v>10</v>
      </c>
      <c r="C24" s="21" t="n">
        <f aca="false">'Condenser geometry &amp; surf calc'!C22</f>
        <v>2.4384</v>
      </c>
      <c r="D24" s="0" t="s">
        <v>11</v>
      </c>
      <c r="F24" s="0" t="s">
        <v>10</v>
      </c>
      <c r="G24" s="21" t="n">
        <f aca="false">C24</f>
        <v>2.4384</v>
      </c>
      <c r="H24" s="0" t="s">
        <v>11</v>
      </c>
    </row>
    <row r="25" customFormat="false" ht="12.8" hidden="false" customHeight="false" outlineLevel="0" collapsed="false">
      <c r="B25" s="0" t="s">
        <v>9</v>
      </c>
      <c r="C25" s="21" t="n">
        <f aca="false">'Condenser geometry &amp; surf calc'!C20</f>
        <v>90</v>
      </c>
      <c r="F25" s="0" t="s">
        <v>9</v>
      </c>
      <c r="G25" s="21" t="n">
        <f aca="false">C25</f>
        <v>90</v>
      </c>
    </row>
    <row r="27" customFormat="false" ht="12.8" hidden="false" customHeight="false" outlineLevel="0" collapsed="false">
      <c r="B27" s="0" t="s">
        <v>115</v>
      </c>
      <c r="C27" s="21" t="n">
        <f aca="false">C15/(C24*C25^(1/4))</f>
        <v>0.0665739656075908</v>
      </c>
      <c r="F27" s="0" t="s">
        <v>115</v>
      </c>
      <c r="G27" s="21" t="n">
        <f aca="false">G15/(PI()*G23*G25)</f>
        <v>0.0928287798727882</v>
      </c>
    </row>
    <row r="28" customFormat="false" ht="12.8" hidden="false" customHeight="false" outlineLevel="0" collapsed="false">
      <c r="B28" s="0" t="s">
        <v>99</v>
      </c>
      <c r="C28" s="21" t="n">
        <f aca="false">4*C27/C17</f>
        <v>940.336977653427</v>
      </c>
      <c r="F28" s="0" t="s">
        <v>99</v>
      </c>
      <c r="G28" s="21" t="n">
        <f aca="false">4*G27/G17</f>
        <v>371.315119491153</v>
      </c>
    </row>
    <row r="30" customFormat="false" ht="12.8" hidden="false" customHeight="false" outlineLevel="0" collapsed="false">
      <c r="B30" s="0" t="s">
        <v>107</v>
      </c>
      <c r="C30" s="21" t="n">
        <f aca="false">1.51*(C20^3*C16^2*9.81/C17^2)^(1/3)*(4*C27/C17)^(-1/3)</f>
        <v>4619.20952655872</v>
      </c>
      <c r="F30" s="0" t="s">
        <v>116</v>
      </c>
      <c r="G30" s="21" t="n">
        <f aca="false">1.47*(G20^3*G16^2*9.81/G17^2)^(1/3)*(4*G27/G17)^(-1/3)</f>
        <v>2643.27457983709</v>
      </c>
    </row>
    <row r="31" customFormat="false" ht="12.8" hidden="false" customHeight="false" outlineLevel="0" collapsed="false">
      <c r="F31" s="0" t="s">
        <v>116</v>
      </c>
      <c r="G31" s="21" t="n">
        <f aca="false">0.0076*(G20^3*G16^2*9.81/G17^2)^(1/3)*(4*G27/G17)^(0.4)</f>
        <v>1047.40940245369</v>
      </c>
    </row>
    <row r="33" customFormat="false" ht="12.8" hidden="false" customHeight="false" outlineLevel="0" collapsed="false">
      <c r="F33" s="0" t="s">
        <v>107</v>
      </c>
      <c r="G33" s="21" t="n">
        <f aca="false">IF(G28&lt;2100,G30,IF(G28&gt;10000,G31,(G30+G31)/2))</f>
        <v>2643.27457983709</v>
      </c>
    </row>
  </sheetData>
  <sheetProtection sheet="true" password="c80a" objects="true" scenarios="true" selectLockedCells="true"/>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17"/>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C14" activeCellId="1" sqref="45:45 C14"/>
    </sheetView>
  </sheetViews>
  <sheetFormatPr defaultColWidth="11.55078125" defaultRowHeight="12.8" zeroHeight="false" outlineLevelRow="0" outlineLevelCol="0"/>
  <sheetData>
    <row r="1" customFormat="false" ht="12.8" hidden="false" customHeight="false" outlineLevel="0" collapsed="false">
      <c r="A1" s="19" t="s">
        <v>41</v>
      </c>
      <c r="B1" s="20"/>
      <c r="C1" s="20"/>
      <c r="D1" s="20"/>
      <c r="E1" s="20"/>
      <c r="F1" s="20"/>
      <c r="G1" s="20"/>
      <c r="H1" s="20"/>
      <c r="I1" s="20"/>
      <c r="J1" s="20"/>
      <c r="K1" s="20"/>
      <c r="L1" s="20"/>
      <c r="M1" s="20"/>
    </row>
    <row r="9" customFormat="false" ht="12.8" hidden="false" customHeight="false" outlineLevel="0" collapsed="false">
      <c r="B9" s="0" t="s">
        <v>78</v>
      </c>
    </row>
    <row r="10" customFormat="false" ht="12.8" hidden="false" customHeight="false" outlineLevel="0" collapsed="false">
      <c r="B10" s="0" t="s">
        <v>23</v>
      </c>
      <c r="C10" s="21" t="n">
        <f aca="false">'Input data'!D29</f>
        <v>100</v>
      </c>
      <c r="D10" s="0" t="s">
        <v>24</v>
      </c>
    </row>
    <row r="11" customFormat="false" ht="12.8" hidden="false" customHeight="false" outlineLevel="0" collapsed="false">
      <c r="B11" s="0" t="s">
        <v>79</v>
      </c>
      <c r="C11" s="21" t="n">
        <f aca="false">('Input data'!J20+'Input data'!C20)/2</f>
        <v>25</v>
      </c>
      <c r="D11" s="0" t="s">
        <v>24</v>
      </c>
    </row>
    <row r="12" customFormat="false" ht="12.8" hidden="false" customHeight="false" outlineLevel="0" collapsed="false">
      <c r="B12" s="0" t="s">
        <v>80</v>
      </c>
      <c r="C12" s="21" t="n">
        <f aca="false">'Condenser geometry &amp; surf calc'!C15</f>
        <v>0.01905</v>
      </c>
      <c r="D12" s="0" t="s">
        <v>11</v>
      </c>
    </row>
    <row r="13" customFormat="false" ht="12.8" hidden="false" customHeight="false" outlineLevel="0" collapsed="false">
      <c r="B13" s="0" t="s">
        <v>81</v>
      </c>
      <c r="C13" s="21" t="n">
        <f aca="false">'Condenser geometry &amp; surf calc'!C16</f>
        <v>0.01485</v>
      </c>
      <c r="D13" s="0" t="s">
        <v>11</v>
      </c>
    </row>
    <row r="14" customFormat="false" ht="12.8" hidden="false" customHeight="false" outlineLevel="0" collapsed="false">
      <c r="B14" s="0" t="s">
        <v>103</v>
      </c>
      <c r="C14" s="8" t="n">
        <v>5910</v>
      </c>
      <c r="E14" s="0" t="s">
        <v>117</v>
      </c>
    </row>
    <row r="15" customFormat="false" ht="12.8" hidden="false" customHeight="false" outlineLevel="0" collapsed="false">
      <c r="B15" s="0" t="s">
        <v>107</v>
      </c>
      <c r="C15" s="8" t="n">
        <v>4622</v>
      </c>
      <c r="E15" s="0" t="s">
        <v>118</v>
      </c>
    </row>
    <row r="16" customFormat="false" ht="12.8" hidden="false" customHeight="false" outlineLevel="0" collapsed="false">
      <c r="B16" s="0" t="s">
        <v>82</v>
      </c>
      <c r="C16" s="21" t="n">
        <f aca="false">C10-(C14*(C13/C12)/(C14*(C13/C12)+C15))*(C10-C11)</f>
        <v>62.5609171356319</v>
      </c>
      <c r="D16" s="0" t="s">
        <v>24</v>
      </c>
    </row>
    <row r="17" customFormat="false" ht="12.8" hidden="false" customHeight="false" outlineLevel="0" collapsed="false">
      <c r="B17" s="0" t="s">
        <v>83</v>
      </c>
      <c r="C17" s="21" t="n">
        <f aca="false">(C10+C16)/2</f>
        <v>81.280458567816</v>
      </c>
      <c r="D17" s="0" t="s">
        <v>24</v>
      </c>
    </row>
  </sheetData>
  <sheetProtection sheet="true" password="c80a" objects="true" scenarios="true" selectLockedCells="true"/>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21"/>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C13" activeCellId="1" sqref="45:45 C13"/>
    </sheetView>
  </sheetViews>
  <sheetFormatPr defaultColWidth="11.55078125" defaultRowHeight="12.8" zeroHeight="false" outlineLevelRow="0" outlineLevelCol="0"/>
  <cols>
    <col collapsed="false" customWidth="true" hidden="false" outlineLevel="0" max="2" min="2" style="0" width="28.11"/>
  </cols>
  <sheetData>
    <row r="1" customFormat="false" ht="12.8" hidden="false" customHeight="false" outlineLevel="0" collapsed="false">
      <c r="A1" s="19" t="s">
        <v>41</v>
      </c>
      <c r="B1" s="20"/>
      <c r="C1" s="20"/>
      <c r="D1" s="20"/>
      <c r="E1" s="20"/>
      <c r="F1" s="20"/>
      <c r="G1" s="20"/>
      <c r="H1" s="20"/>
      <c r="I1" s="20"/>
      <c r="J1" s="20"/>
      <c r="K1" s="20"/>
      <c r="L1" s="20"/>
      <c r="M1" s="20"/>
    </row>
    <row r="10" customFormat="false" ht="12.8" hidden="false" customHeight="false" outlineLevel="0" collapsed="false">
      <c r="B10" s="0" t="s">
        <v>103</v>
      </c>
      <c r="C10" s="21" t="n">
        <f aca="false">htube!C37</f>
        <v>5940.41293732671</v>
      </c>
    </row>
    <row r="11" customFormat="false" ht="12.8" hidden="false" customHeight="false" outlineLevel="0" collapsed="false">
      <c r="B11" s="0" t="s">
        <v>119</v>
      </c>
      <c r="C11" s="26" t="n">
        <v>9E-005</v>
      </c>
    </row>
    <row r="12" customFormat="false" ht="12.8" hidden="false" customHeight="false" outlineLevel="0" collapsed="false">
      <c r="B12" s="0" t="s">
        <v>107</v>
      </c>
      <c r="C12" s="21" t="n">
        <f aca="false">hshell!G33</f>
        <v>2643.27457983709</v>
      </c>
    </row>
    <row r="13" customFormat="false" ht="12.8" hidden="false" customHeight="false" outlineLevel="0" collapsed="false">
      <c r="B13" s="0" t="s">
        <v>120</v>
      </c>
      <c r="C13" s="26" t="n">
        <v>7E-005</v>
      </c>
    </row>
    <row r="14" customFormat="false" ht="12.8" hidden="false" customHeight="false" outlineLevel="0" collapsed="false">
      <c r="B14" s="0" t="s">
        <v>121</v>
      </c>
      <c r="C14" s="21" t="n">
        <f aca="false">'Condenser geometry &amp; surf calc'!C15/1.2</f>
        <v>0.015875</v>
      </c>
    </row>
    <row r="15" customFormat="false" ht="12.8" hidden="false" customHeight="false" outlineLevel="0" collapsed="false">
      <c r="B15" s="0" t="s">
        <v>65</v>
      </c>
      <c r="C15" s="21" t="n">
        <f aca="false">'Condenser geometry &amp; surf calc'!C15</f>
        <v>0.01905</v>
      </c>
    </row>
    <row r="16" customFormat="false" ht="12.8" hidden="false" customHeight="false" outlineLevel="0" collapsed="false">
      <c r="B16" s="0" t="s">
        <v>91</v>
      </c>
      <c r="C16" s="21" t="n">
        <f aca="false">'Condenser geometry &amp; surf calc'!C24</f>
        <v>66</v>
      </c>
    </row>
    <row r="18" customFormat="false" ht="12.8" hidden="false" customHeight="false" outlineLevel="0" collapsed="false">
      <c r="B18" s="0" t="s">
        <v>122</v>
      </c>
      <c r="C18" s="0" t="s">
        <v>123</v>
      </c>
      <c r="D18" s="21" t="n">
        <f aca="false">1/(1/C10+C11+C14/(2*C16)*LN(C15/C14)+(C14/C15)*C13+1/C12*(C14/C15))</f>
        <v>1529.36944143235</v>
      </c>
    </row>
    <row r="19" customFormat="false" ht="12.8" hidden="false" customHeight="false" outlineLevel="0" collapsed="false">
      <c r="C19" s="0" t="s">
        <v>124</v>
      </c>
      <c r="D19" s="21" t="n">
        <f aca="false">'Surface requirements'!D15*1000</f>
        <v>1300</v>
      </c>
    </row>
    <row r="20" customFormat="false" ht="12.8" hidden="false" customHeight="false" outlineLevel="0" collapsed="false">
      <c r="C20" s="0" t="s">
        <v>125</v>
      </c>
      <c r="D20" s="21" t="str">
        <f aca="false">IF(D18&gt;D19,"Ok","Not Ok")</f>
        <v>Ok</v>
      </c>
      <c r="F20" s="25"/>
    </row>
    <row r="21" customFormat="false" ht="12.8" hidden="false" customHeight="false" outlineLevel="0" collapsed="false">
      <c r="C21" s="0" t="s">
        <v>126</v>
      </c>
      <c r="D21" s="21" t="str">
        <f aca="false">IF(D18-D19&gt;250,"Yes, please go back to surface requirement and change the estimated H required by H calculated, then run again to optimize the design","No, the design is Ok")</f>
        <v>No, the design is Ok</v>
      </c>
    </row>
  </sheetData>
  <sheetProtection sheet="true" password="c80a" objects="true" scenarios="true" selectLockedCells="true"/>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156</TotalTime>
  <Application>LibreOffice/7.1.6.2$Windows_X86_64 LibreOffice_project/0e133318fcee89abacd6a7d077e292f1145735c3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2020-05-03T11:30:28Z</dcterms:created>
  <dc:creator/>
  <dc:description/>
  <dc:language>en-SG</dc:language>
  <cp:lastModifiedBy/>
  <dcterms:modified xsi:type="dcterms:W3CDTF">2021-12-12T11:29:14Z</dcterms:modified>
  <cp:revision>35</cp:revision>
  <dc:subject/>
  <dc:title/>
</cp:coreProperties>
</file>